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ma.mt.gov.br\pastas\docs\pasta_25\2. GAQ\01 - 2022\PROCESSOS SIGADOC\9803-2022 - Abrigo lixo\DOCTS PARA SIAG\"/>
    </mc:Choice>
  </mc:AlternateContent>
  <bookViews>
    <workbookView xWindow="-120" yWindow="-120" windowWidth="20730" windowHeight="11160"/>
  </bookViews>
  <sheets>
    <sheet name="ORÇAMENTO SINTÉTICO" sheetId="5" r:id="rId1"/>
    <sheet name="COMPOSIÇÃO" sheetId="9" r:id="rId2"/>
    <sheet name="BDI" sheetId="12" r:id="rId3"/>
    <sheet name="COTAÇÃO" sheetId="10" r:id="rId4"/>
    <sheet name="CRONOGRAMA" sheetId="11" r:id="rId5"/>
    <sheet name="QUANTITATIVO" sheetId="4" state="hidden" r:id="rId6"/>
  </sheets>
  <externalReferences>
    <externalReference r:id="rId7"/>
  </externalReferences>
  <definedNames>
    <definedName name="_xlnm.Print_Area" localSheetId="2">BDI!$A$1:$E$72</definedName>
    <definedName name="_xlnm.Print_Area" localSheetId="1">COMPOSIÇÃO!$A$1:$F$73</definedName>
    <definedName name="_xlnm.Print_Area" localSheetId="3">COTAÇÃO!$A$1:$F$26</definedName>
    <definedName name="_xlnm.Print_Area" localSheetId="4">CRONOGRAMA!$B$1:$L$36</definedName>
    <definedName name="_xlnm.Print_Area" localSheetId="0">'ORÇAMENTO SINTÉTICO'!$A$1:$H$79</definedName>
  </definedNames>
  <calcPr calcId="162913"/>
</workbook>
</file>

<file path=xl/calcChain.xml><?xml version="1.0" encoding="utf-8"?>
<calcChain xmlns="http://schemas.openxmlformats.org/spreadsheetml/2006/main">
  <c r="C20" i="12" l="1"/>
  <c r="C27" i="12" s="1"/>
  <c r="C15" i="12"/>
  <c r="L29" i="11" l="1"/>
  <c r="L23" i="11"/>
  <c r="H29" i="11"/>
  <c r="H26" i="11"/>
  <c r="H25" i="11"/>
  <c r="F23" i="11"/>
  <c r="E20" i="11"/>
  <c r="E21" i="11"/>
  <c r="E26" i="11"/>
  <c r="E27" i="11"/>
  <c r="E28" i="11"/>
  <c r="E29" i="11"/>
  <c r="H71" i="5"/>
  <c r="H74" i="5"/>
  <c r="H44" i="5"/>
  <c r="H23" i="5"/>
  <c r="H16" i="5"/>
  <c r="H30" i="5"/>
  <c r="D33" i="11"/>
  <c r="E22" i="11" s="1"/>
  <c r="L32" i="11"/>
  <c r="H32" i="11"/>
  <c r="L31" i="11"/>
  <c r="J31" i="11"/>
  <c r="L30" i="11"/>
  <c r="J30" i="11"/>
  <c r="L28" i="11"/>
  <c r="J28" i="11"/>
  <c r="C28" i="11"/>
  <c r="L27" i="11"/>
  <c r="J27" i="11"/>
  <c r="C27" i="11"/>
  <c r="L24" i="11"/>
  <c r="F24" i="11"/>
  <c r="C24" i="11"/>
  <c r="L22" i="11"/>
  <c r="F22" i="11"/>
  <c r="C22" i="11"/>
  <c r="L21" i="11"/>
  <c r="H21" i="11"/>
  <c r="J21" i="11"/>
  <c r="C21" i="11"/>
  <c r="L20" i="11"/>
  <c r="J20" i="11"/>
  <c r="C20" i="11"/>
  <c r="L19" i="11"/>
  <c r="J19" i="11"/>
  <c r="C19" i="11"/>
  <c r="K13" i="11"/>
  <c r="C13" i="11"/>
  <c r="B13" i="11"/>
  <c r="K12" i="11"/>
  <c r="C12" i="11"/>
  <c r="B12" i="11"/>
  <c r="C11" i="11"/>
  <c r="B11" i="11"/>
  <c r="L10" i="11"/>
  <c r="K10" i="11"/>
  <c r="B10" i="11"/>
  <c r="E25" i="11" l="1"/>
  <c r="E32" i="11"/>
  <c r="E24" i="11"/>
  <c r="E31" i="11"/>
  <c r="E23" i="11"/>
  <c r="E30" i="11"/>
  <c r="H28" i="11"/>
  <c r="H22" i="11"/>
  <c r="J22" i="11"/>
  <c r="F21" i="11"/>
  <c r="F28" i="11"/>
  <c r="H24" i="11"/>
  <c r="J24" i="11"/>
  <c r="J32" i="11"/>
  <c r="F20" i="11"/>
  <c r="F31" i="11"/>
  <c r="F19" i="11"/>
  <c r="H20" i="11"/>
  <c r="F30" i="11"/>
  <c r="H31" i="11"/>
  <c r="H19" i="11"/>
  <c r="H30" i="11"/>
  <c r="D39" i="11"/>
  <c r="F27" i="11"/>
  <c r="H27" i="11"/>
  <c r="F32" i="11"/>
  <c r="J33" i="11" l="1"/>
  <c r="K39" i="11" s="1"/>
  <c r="H33" i="11"/>
  <c r="I33" i="11" s="1"/>
  <c r="E19" i="11"/>
  <c r="C39" i="11"/>
  <c r="A33" i="11"/>
  <c r="F33" i="11"/>
  <c r="I39" i="11" l="1"/>
  <c r="K33" i="11"/>
  <c r="E33" i="11"/>
  <c r="G33" i="11"/>
  <c r="G39" i="11"/>
  <c r="F34" i="11"/>
  <c r="L33" i="11" l="1"/>
  <c r="H34" i="11"/>
  <c r="G34" i="11"/>
  <c r="I34" i="11" l="1"/>
  <c r="J34" i="11"/>
  <c r="N34" i="11" l="1"/>
  <c r="K34" i="11"/>
  <c r="G77" i="5" l="1"/>
  <c r="H77" i="5" s="1"/>
  <c r="G20" i="5"/>
  <c r="H20" i="5" s="1"/>
  <c r="E21" i="10" l="1"/>
  <c r="F22" i="10"/>
  <c r="F16" i="10"/>
  <c r="F21" i="10" l="1"/>
  <c r="G55" i="5"/>
  <c r="H55" i="5" s="1"/>
  <c r="G54" i="5" l="1"/>
  <c r="H54" i="5" s="1"/>
  <c r="G53" i="5"/>
  <c r="H53" i="5" s="1"/>
  <c r="G52" i="5"/>
  <c r="H52" i="5" s="1"/>
  <c r="I52" i="5" s="1"/>
  <c r="G51" i="5"/>
  <c r="H51" i="5" s="1"/>
  <c r="I51" i="5" s="1"/>
  <c r="G49" i="5" l="1"/>
  <c r="H49" i="5" s="1"/>
  <c r="I49" i="5" s="1"/>
  <c r="G32" i="5" l="1"/>
  <c r="H32" i="5" s="1"/>
  <c r="G15" i="5" l="1"/>
  <c r="G33" i="5"/>
  <c r="H33" i="5" s="1"/>
  <c r="G34" i="5"/>
  <c r="H34" i="5" s="1"/>
  <c r="G35" i="5"/>
  <c r="H35" i="5" s="1"/>
  <c r="G31" i="5"/>
  <c r="H31" i="5" s="1"/>
  <c r="G29" i="5"/>
  <c r="E29" i="5"/>
  <c r="H29" i="5" l="1"/>
  <c r="E27" i="5" l="1"/>
  <c r="E28" i="5"/>
  <c r="E39" i="5"/>
  <c r="E38" i="5"/>
  <c r="E40" i="5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72" i="9"/>
  <c r="F71" i="9"/>
  <c r="F70" i="9"/>
  <c r="F69" i="9"/>
  <c r="F68" i="9"/>
  <c r="F46" i="9"/>
  <c r="E45" i="9" l="1"/>
  <c r="F45" i="9" s="1"/>
  <c r="E41" i="5"/>
  <c r="E37" i="5"/>
  <c r="E25" i="5"/>
  <c r="E24" i="5"/>
  <c r="G47" i="5"/>
  <c r="H47" i="5" s="1"/>
  <c r="G73" i="5"/>
  <c r="H73" i="5" s="1"/>
  <c r="G72" i="5"/>
  <c r="H72" i="5" s="1"/>
  <c r="G41" i="5"/>
  <c r="G40" i="5"/>
  <c r="G39" i="5"/>
  <c r="H39" i="5" s="1"/>
  <c r="H41" i="5" l="1"/>
  <c r="H40" i="5"/>
  <c r="G45" i="5" l="1"/>
  <c r="H45" i="5" s="1"/>
  <c r="G57" i="5"/>
  <c r="H57" i="5" s="1"/>
  <c r="H56" i="5" s="1"/>
  <c r="G67" i="5"/>
  <c r="G18" i="5"/>
  <c r="H18" i="5" s="1"/>
  <c r="I45" i="5" l="1"/>
  <c r="H67" i="5"/>
  <c r="I67" i="5" s="1"/>
  <c r="I18" i="5"/>
  <c r="I57" i="5"/>
  <c r="G26" i="5" l="1"/>
  <c r="H26" i="5" s="1"/>
  <c r="I26" i="5" s="1"/>
  <c r="F37" i="9"/>
  <c r="F38" i="9"/>
  <c r="F39" i="9"/>
  <c r="F40" i="9"/>
  <c r="F36" i="9"/>
  <c r="G17" i="5"/>
  <c r="H17" i="5" s="1"/>
  <c r="F28" i="9"/>
  <c r="F29" i="9"/>
  <c r="F30" i="9"/>
  <c r="F27" i="9"/>
  <c r="F25" i="9"/>
  <c r="F26" i="9"/>
  <c r="F24" i="9"/>
  <c r="H15" i="5"/>
  <c r="F18" i="9"/>
  <c r="F17" i="9"/>
  <c r="I56" i="5"/>
  <c r="G76" i="5"/>
  <c r="H76" i="5" s="1"/>
  <c r="I76" i="5" s="1"/>
  <c r="G75" i="5"/>
  <c r="H75" i="5" s="1"/>
  <c r="I73" i="5"/>
  <c r="G70" i="5"/>
  <c r="H70" i="5" s="1"/>
  <c r="I70" i="5" s="1"/>
  <c r="G69" i="5"/>
  <c r="G66" i="5"/>
  <c r="H66" i="5" s="1"/>
  <c r="I66" i="5" s="1"/>
  <c r="G65" i="5"/>
  <c r="H65" i="5" s="1"/>
  <c r="G63" i="5"/>
  <c r="E63" i="5"/>
  <c r="G61" i="5"/>
  <c r="H61" i="5" s="1"/>
  <c r="I61" i="5" s="1"/>
  <c r="G60" i="5"/>
  <c r="H60" i="5" s="1"/>
  <c r="I60" i="5" s="1"/>
  <c r="G59" i="5"/>
  <c r="H59" i="5" s="1"/>
  <c r="G50" i="5"/>
  <c r="H50" i="5" s="1"/>
  <c r="G48" i="5"/>
  <c r="H48" i="5" s="1"/>
  <c r="I48" i="5" s="1"/>
  <c r="I47" i="5"/>
  <c r="G46" i="5"/>
  <c r="H46" i="5" s="1"/>
  <c r="G43" i="5"/>
  <c r="G42" i="5"/>
  <c r="H42" i="5" s="1"/>
  <c r="I42" i="5" s="1"/>
  <c r="G38" i="5"/>
  <c r="G37" i="5"/>
  <c r="H37" i="5" s="1"/>
  <c r="G27" i="5"/>
  <c r="H27" i="5" s="1"/>
  <c r="I27" i="5" s="1"/>
  <c r="G25" i="5"/>
  <c r="H25" i="5" s="1"/>
  <c r="G28" i="5"/>
  <c r="H28" i="5" s="1"/>
  <c r="I31" i="5" s="1"/>
  <c r="G24" i="5"/>
  <c r="H24" i="5" s="1"/>
  <c r="G22" i="5"/>
  <c r="H22" i="5" s="1"/>
  <c r="G19" i="5"/>
  <c r="I19" i="5" l="1"/>
  <c r="H19" i="5"/>
  <c r="I50" i="5"/>
  <c r="I17" i="5"/>
  <c r="I59" i="5"/>
  <c r="H58" i="5"/>
  <c r="I58" i="5" s="1"/>
  <c r="I22" i="5"/>
  <c r="H21" i="5"/>
  <c r="I65" i="5"/>
  <c r="H64" i="5"/>
  <c r="I64" i="5" s="1"/>
  <c r="I24" i="5"/>
  <c r="I46" i="5"/>
  <c r="I44" i="5"/>
  <c r="I74" i="5"/>
  <c r="E23" i="9"/>
  <c r="F23" i="9" s="1"/>
  <c r="I37" i="5"/>
  <c r="I25" i="5"/>
  <c r="I75" i="5"/>
  <c r="H14" i="5"/>
  <c r="I14" i="5" s="1"/>
  <c r="I15" i="5"/>
  <c r="I71" i="5"/>
  <c r="E35" i="9"/>
  <c r="F35" i="9" s="1"/>
  <c r="E16" i="9"/>
  <c r="F16" i="9" s="1"/>
  <c r="H63" i="5"/>
  <c r="H62" i="5" l="1"/>
  <c r="I62" i="5" s="1"/>
  <c r="I63" i="5"/>
  <c r="I21" i="5"/>
  <c r="I16" i="5"/>
  <c r="K39" i="4"/>
  <c r="K38" i="4"/>
  <c r="M38" i="4" s="1"/>
  <c r="O38" i="4" s="1"/>
  <c r="M37" i="4"/>
  <c r="N37" i="4" s="1"/>
  <c r="K20" i="4"/>
  <c r="H35" i="4"/>
  <c r="H34" i="4"/>
  <c r="J34" i="4" s="1"/>
  <c r="L34" i="4" s="1"/>
  <c r="J33" i="4"/>
  <c r="K33" i="4" s="1"/>
  <c r="H69" i="5" l="1"/>
  <c r="H68" i="5" s="1"/>
  <c r="I68" i="5" l="1"/>
  <c r="I69" i="5"/>
  <c r="H38" i="5"/>
  <c r="L32" i="4"/>
  <c r="L31" i="4"/>
  <c r="H43" i="5"/>
  <c r="M26" i="4"/>
  <c r="N26" i="4" s="1"/>
  <c r="K28" i="4"/>
  <c r="K27" i="4"/>
  <c r="H30" i="4"/>
  <c r="H29" i="4"/>
  <c r="H28" i="4"/>
  <c r="H27" i="4"/>
  <c r="H26" i="4"/>
  <c r="L21" i="4"/>
  <c r="J21" i="4"/>
  <c r="H22" i="4"/>
  <c r="J20" i="4"/>
  <c r="H21" i="4"/>
  <c r="J16" i="4"/>
  <c r="L17" i="4"/>
  <c r="I15" i="4"/>
  <c r="I14" i="4"/>
  <c r="I13" i="4"/>
  <c r="G13" i="4"/>
  <c r="J7" i="4"/>
  <c r="I43" i="5" l="1"/>
  <c r="H36" i="5"/>
  <c r="H78" i="5" s="1"/>
  <c r="I38" i="5"/>
  <c r="I23" i="5"/>
  <c r="M27" i="4"/>
  <c r="O27" i="4" s="1"/>
  <c r="I7" i="4"/>
  <c r="H79" i="5" l="1"/>
  <c r="I36" i="5"/>
  <c r="I78" i="5" s="1"/>
  <c r="C58" i="4" l="1"/>
  <c r="C55" i="4"/>
  <c r="C51" i="4"/>
  <c r="C45" i="4"/>
  <c r="F43" i="4"/>
  <c r="E43" i="4"/>
  <c r="C43" i="4" s="1"/>
  <c r="C44" i="4" s="1"/>
  <c r="C40" i="4"/>
  <c r="G39" i="4"/>
  <c r="C39" i="4" s="1"/>
  <c r="F39" i="4"/>
  <c r="E39" i="4"/>
  <c r="E38" i="4"/>
  <c r="C38" i="4" s="1"/>
  <c r="C22" i="4" l="1"/>
  <c r="C20" i="4"/>
  <c r="C19" i="4"/>
  <c r="E23" i="4" s="1"/>
  <c r="C18" i="4"/>
  <c r="C10" i="4" l="1"/>
  <c r="C9" i="4"/>
  <c r="C8" i="4"/>
  <c r="C4" i="4"/>
  <c r="C3" i="4"/>
</calcChain>
</file>

<file path=xl/sharedStrings.xml><?xml version="1.0" encoding="utf-8"?>
<sst xmlns="http://schemas.openxmlformats.org/spreadsheetml/2006/main" count="607" uniqueCount="364">
  <si>
    <t>Item</t>
  </si>
  <si>
    <t>Descrição</t>
  </si>
  <si>
    <t>Und</t>
  </si>
  <si>
    <t>Quant.</t>
  </si>
  <si>
    <t>Total</t>
  </si>
  <si>
    <t xml:space="preserve"> 1 </t>
  </si>
  <si>
    <t>m³</t>
  </si>
  <si>
    <t>m²</t>
  </si>
  <si>
    <t>FORRO</t>
  </si>
  <si>
    <t>COBERTURA</t>
  </si>
  <si>
    <t>ALVENARIA</t>
  </si>
  <si>
    <t>PINTURA</t>
  </si>
  <si>
    <t>M</t>
  </si>
  <si>
    <t>M²</t>
  </si>
  <si>
    <t>DEMOLIÇÃO - BANHEIROS EXTERNOS</t>
  </si>
  <si>
    <t>FUNDAÇÃO</t>
  </si>
  <si>
    <t>PILARES</t>
  </si>
  <si>
    <t>LOUÇAS</t>
  </si>
  <si>
    <t>METAIS</t>
  </si>
  <si>
    <t>BANCADA</t>
  </si>
  <si>
    <t>MANUTENÇÃO - POSTO FISCAL</t>
  </si>
  <si>
    <t>REFORMA E AMPLIAÇÃO - RECINTOS</t>
  </si>
  <si>
    <t>LIMPEZA CAIXA DE GORDURA</t>
  </si>
  <si>
    <t>SUBSTITUIÇÃO TAMPA CAIXA DE GORDURA</t>
  </si>
  <si>
    <t>AMPLIAÇÃO - BANHEIROS</t>
  </si>
  <si>
    <t>VIGAS</t>
  </si>
  <si>
    <t>PISO</t>
  </si>
  <si>
    <t>COLOCAÇÃO DE CASCALHO/BRITA</t>
  </si>
  <si>
    <t>FOSSA BIODIGESTORA</t>
  </si>
  <si>
    <t>LIMPEZA E PLANIFICAÇÃO DE TERRENO</t>
  </si>
  <si>
    <t>REVISÃO DE QUADRO DE ELÉTRICA</t>
  </si>
  <si>
    <t>REVISÃO DE FIAÇÃO ELÉTRICA</t>
  </si>
  <si>
    <t>REVISÃO DE ALIMENTADORES</t>
  </si>
  <si>
    <t>REVISÃO DE CIRCUITOS</t>
  </si>
  <si>
    <t>TELA TIPO ALAMBRADO</t>
  </si>
  <si>
    <t>PERGOLADO</t>
  </si>
  <si>
    <t>TELHA POLICARBONATO</t>
  </si>
  <si>
    <t>TORAS DE MADEIRA</t>
  </si>
  <si>
    <t>PLACA SINALIZAÇÃO</t>
  </si>
  <si>
    <t>CERCA ALAMBRADO</t>
  </si>
  <si>
    <t>CERCA VIVA</t>
  </si>
  <si>
    <t>RECUPERAÇÃO DA CERCA DE MADEIRA BRANCA</t>
  </si>
  <si>
    <t>RECUPERAÇÃO DE CERCA ARAME LISO</t>
  </si>
  <si>
    <t>PÓRTICO - NOVO</t>
  </si>
  <si>
    <t>QUANTIFICAÇÃO</t>
  </si>
  <si>
    <t>UNIDADE</t>
  </si>
  <si>
    <t>área de cada pilar multiplicada pela quantidade de pilares</t>
  </si>
  <si>
    <t>área de cada viga (amarração e respaldo)</t>
  </si>
  <si>
    <t>cuba</t>
  </si>
  <si>
    <t>torneira</t>
  </si>
  <si>
    <t>vaso sanitário com caixa acoplada</t>
  </si>
  <si>
    <t>chuveiro</t>
  </si>
  <si>
    <t>QTDADE</t>
  </si>
  <si>
    <t>UNID</t>
  </si>
  <si>
    <t>PORTAS (0,70 x 1,90) veneziana alumínio</t>
  </si>
  <si>
    <t>JANELAS (1,00 x 0,40) abrir</t>
  </si>
  <si>
    <t>PINTURA prever duas demãos</t>
  </si>
  <si>
    <t>CAIXA D'ÁGUA 5mil litros</t>
  </si>
  <si>
    <t>unid</t>
  </si>
  <si>
    <t>TORNEIRAS DE JARDIM</t>
  </si>
  <si>
    <t>CALÇADA</t>
  </si>
  <si>
    <t>PORTA (ESTRUTURA METÁLICA E ALAMBRADO)</t>
  </si>
  <si>
    <t>COBERTURA (TELHA SANDUICHE)</t>
  </si>
  <si>
    <t>PILARES (0,30 x 0,30 x 3,00)</t>
  </si>
  <si>
    <t>VIGAS (0,06 x 0,25 x 7,25)</t>
  </si>
  <si>
    <t>TRAVESSAS ( 0,06 x 0,16 x 3,50)</t>
  </si>
  <si>
    <t>REVISÃO E TROCA DE PARTES DANIFICADAS</t>
  </si>
  <si>
    <t>ESQUADRIAS</t>
  </si>
  <si>
    <t>SERVIÇOS PRELIMINARES</t>
  </si>
  <si>
    <t>ADMINISTRAÇÃO LOCAL DE OBRA</t>
  </si>
  <si>
    <t>PLACA DE OBRA</t>
  </si>
  <si>
    <t>LOCAÇÃO DE CAÇAMBA - BOTA FORA 05M³</t>
  </si>
  <si>
    <t>MOVIMENTO DE TERRA</t>
  </si>
  <si>
    <t>INSTALAÇÕES HIDROSSANITÁRIA</t>
  </si>
  <si>
    <t xml:space="preserve">1.1 </t>
  </si>
  <si>
    <t>2.1</t>
  </si>
  <si>
    <t>2.2</t>
  </si>
  <si>
    <t>2.3</t>
  </si>
  <si>
    <t>3.1</t>
  </si>
  <si>
    <t>4.1</t>
  </si>
  <si>
    <t>4.2</t>
  </si>
  <si>
    <t>6.1</t>
  </si>
  <si>
    <t>REVESTIMENTO</t>
  </si>
  <si>
    <t>7.1</t>
  </si>
  <si>
    <t>8.1</t>
  </si>
  <si>
    <t>8.2</t>
  </si>
  <si>
    <t>9.1</t>
  </si>
  <si>
    <t>10.1</t>
  </si>
  <si>
    <t>10.2</t>
  </si>
  <si>
    <t>4.3</t>
  </si>
  <si>
    <t>SERVIÇOS GERAIS</t>
  </si>
  <si>
    <t>m</t>
  </si>
  <si>
    <t>12.1</t>
  </si>
  <si>
    <t>12.2</t>
  </si>
  <si>
    <t xml:space="preserve">un </t>
  </si>
  <si>
    <t>4.4</t>
  </si>
  <si>
    <t>4.5</t>
  </si>
  <si>
    <t>11.1</t>
  </si>
  <si>
    <t>5.1</t>
  </si>
  <si>
    <t>6.2</t>
  </si>
  <si>
    <t>ARMAÇÃO DE BLOCO, VIGA BALDRAME E SAPATA UTILIZANDO AÇO CA-60 DE 5 MM - MONTAGEM. AF_06/2017</t>
  </si>
  <si>
    <t>kg</t>
  </si>
  <si>
    <t>CONCRETAGEM DE BLOCOS DE COROAMENTO E VIGAS BALDRAME, FCK 25 MPA, COM USO DE JERICA  LANÇAMENTO, ADENSAMENTO E ACABAMENTO.</t>
  </si>
  <si>
    <t>ARMAÇÃO DE BLOCO, VIGA BALDRAME OU SAPATA UTILIZANDO AÇO CA-50 DE 10 MM - MONTAGEM. AF_06/2017</t>
  </si>
  <si>
    <t xml:space="preserve">SUPRAESTRUTURA </t>
  </si>
  <si>
    <t>CONCRETAGEM DE VIGAS E LAJES, FCK=25 MPA, PARA QUALQUER TIPO DE LAJE COM BALDES EM EDIFICAÇÃO TÉRREA - LANÇAMENTO, ADENSAMENTO E ACABAMENTO.
AF_02/2022</t>
  </si>
  <si>
    <t>kg/m</t>
  </si>
  <si>
    <t>CONCRETAGEM DE PILARES, FCK = 25 MPA, COM USO DE BALDES - LANÇAMENTO,
ADENSAMENTO E ACABAMENTO. AF_02/2022</t>
  </si>
  <si>
    <t>OBRA:</t>
  </si>
  <si>
    <t>BDI:</t>
  </si>
  <si>
    <t>ENDEREÇO:</t>
  </si>
  <si>
    <t>Data:</t>
  </si>
  <si>
    <t>MUNICÍPIO:</t>
  </si>
  <si>
    <t>Prazo:</t>
  </si>
  <si>
    <t>ASSUNTO:</t>
  </si>
  <si>
    <t>Revisão:</t>
  </si>
  <si>
    <t>R0</t>
  </si>
  <si>
    <t>GOVERNO DO ESTADO DE MATO GROSSO
SEMA - SECRETARIA DE ESTADO DE MEIO AMBIENTE</t>
  </si>
  <si>
    <t xml:space="preserve"> FONTE: SINAPI DATA DE PREÇO MARÇO/2022 (SEM DESONERAÇÃO)</t>
  </si>
  <si>
    <t>Código</t>
  </si>
  <si>
    <t>Valor Unitário
(Sem BDI)</t>
  </si>
  <si>
    <t>Valor Unitário
(Com BDI)</t>
  </si>
  <si>
    <t>Total
(Com BDI)</t>
  </si>
  <si>
    <t>Orçamento Sintético - Sem Desoneração</t>
  </si>
  <si>
    <t xml:space="preserve">Importa o presente orçamento em R$:      </t>
  </si>
  <si>
    <t>30 dias</t>
  </si>
  <si>
    <t>MONTAGEM E DESMONTAGEM DE FÔRMA DE PILARES E VIGAS RETANGULARES E ESTRUTURAS SIMILARES, PÉ-DIREITO SIMPLES, EM MADEIRA SERRADA, 1 UTILIZAÇÃO. AF_09/2020</t>
  </si>
  <si>
    <t>ARMAÇÃO DE PILAR OU VIGA DE UMA ESTRUTURA CONVENCIONAL DE CONCRETO ARMADO EM UMA EDIFICAÇÃO TÉRREA OU SOBRADO UTILIZANDO AÇO CA-50 DE 10 MM - MONTAGEM. AF_12/2015</t>
  </si>
  <si>
    <t>ARMAÇÃO DE PILAR OU VIGA DE UMA ESTRUTURA CONVENCIONAL DE CONCRETO ARMADO EM UMA EDIFICAÇÃO TÉRREA OU SOBRADO UTILIZANDO AÇO CA-50 DE 5 MM - MONTAGEM. AF_12/2015</t>
  </si>
  <si>
    <t>TUBO, PVC, SOLDÁVEL, DN 25MM, INSTALADO EM RAMAL OU SUB-RAMAL DE ÁGUA - FORNECIMENTO E INSTALAÇÃO. AF_12/2014</t>
  </si>
  <si>
    <t>TUBO PVC, SERIE NORMAL, ESGOTO PREDIAL, DN 100 MM, FORNECIDO E INSTALADO EM RAMAL DE DESCARGA OU RAMAL DE ESGOTO SANITÁRIO. AF_12/2014</t>
  </si>
  <si>
    <t>RALO SIFONADO, PVC, DN 100 X 40 MM, JUNTA SOLDÁVEL, FORNECIDO E INSTALADO EM RAMAIS DE DESCARGA OU EM RAMAL DE ESGOTO SANITÁRIO. AF_12/2014</t>
  </si>
  <si>
    <t>REGISTRO DE GAVETA BRUTO, LATÃO, ROSCÁVEL, 2 1/2" - FORNECIMENTO E INSTALAÇÃO. AF_08/2021</t>
  </si>
  <si>
    <t>PORTA EM ALUMÍNIO DE ABRIR TIPO VENEZIANA COM GUARNIÇÃO, FIXAÇÃO COM PARAFUSOS - FORNECIMENTO E INSTALAÇÃO. AF_12/2019</t>
  </si>
  <si>
    <t>TOTAL GERAL DO ORÇAMENTO</t>
  </si>
  <si>
    <t>Composições Unitárias de Preço</t>
  </si>
  <si>
    <t>Valor Unit</t>
  </si>
  <si>
    <t>COMP.01</t>
  </si>
  <si>
    <t>uni</t>
  </si>
  <si>
    <t>ENGENHEIRO CIVIL DE OBRA JUNIOR COM ENCARGOS COMPLEMENTARES</t>
  </si>
  <si>
    <t>H</t>
  </si>
  <si>
    <t>ENCARREGADO GERAL DE OBRAS COM ENCARGOS COMPLEMENTARES</t>
  </si>
  <si>
    <t>mês</t>
  </si>
  <si>
    <t>Observação:</t>
  </si>
  <si>
    <t xml:space="preserve">O CRONOGRAMA PARA OBRA SERÁ DE 1 MESES, LOGO:
ENGENHEIRO CIVIL  - 2 h/dia * 5 dias/semana * 5 semanas/mês * 1 meses = 50,00 h                                                                                                                                                                ENCARREGADO GERAL DE OBRAS - 1,00 Meses                                                                                                                                                                                                                       </t>
  </si>
  <si>
    <t>COMP. 01</t>
  </si>
  <si>
    <t>PLACA DE OBRA EM CHAPA GALVANIZADA, INCLUSO ADESIVO, SARRAFO E PONTALETE - FORNECIMENTO E INSTALAÇÃO</t>
  </si>
  <si>
    <t xml:space="preserve"> 88262 </t>
  </si>
  <si>
    <t>CARPINTEIRO DE FORMAS COM ENCARGOS COMPLEMENTARES</t>
  </si>
  <si>
    <t xml:space="preserve"> 88316 </t>
  </si>
  <si>
    <t>SERVENTE COM ENCARGOS COMPLEMENTARES</t>
  </si>
  <si>
    <t xml:space="preserve"> 94962 </t>
  </si>
  <si>
    <t>CONCRETO MAGRO PARA LASTRO, TRAÇO 1:4,5:4,5 (CIMENTO/ AREIA MÉDIA/ BRITA 1)  - PREPARO MECÂNICO COM BETONEIRA 400 L. AF_07/2016</t>
  </si>
  <si>
    <t xml:space="preserve"> 00004417 </t>
  </si>
  <si>
    <t>SARRAFO NAO APARELHADO *2,5 X 7* CM, EM MACARANDUBA, ANGELIM OU EQUIVALENTE DA REGIAO -  BRUTA</t>
  </si>
  <si>
    <t xml:space="preserve"> 00004491 </t>
  </si>
  <si>
    <t>PONTALETE *7,5 X 7,5* CM EM PINUS, MISTA OU EQUIVALENTE DA REGIAO - BRUTA</t>
  </si>
  <si>
    <t xml:space="preserve"> 00004813 </t>
  </si>
  <si>
    <t>PLACA DE OBRA (PARA CONSTRUCAO CIVIL) EM CHAPA GALVANIZADA *N. 22*, ADESIVADA, DE *2,0 X 1,125* M</t>
  </si>
  <si>
    <t xml:space="preserve"> 00005075 </t>
  </si>
  <si>
    <t>PREGO DE ACO POLIDO COM CABECA 18 X 30 (2 3/4 X 10)</t>
  </si>
  <si>
    <t>KG</t>
  </si>
  <si>
    <t>Observação</t>
  </si>
  <si>
    <t>COMP. 02</t>
  </si>
  <si>
    <t xml:space="preserve"> 88309 </t>
  </si>
  <si>
    <t>PEDREIRO COM ENCARGOS COMPLEMENTARES</t>
  </si>
  <si>
    <t xml:space="preserve"> 90586 </t>
  </si>
  <si>
    <t>VIBRADOR DE IMERSÃO, DIÂMETRO DE PONTEIRA 45MM, MOTOR ELÉTRICO TRIFÁSICO POTÊNCIA DE 2 CV - CHP DIURNO. AF_06/2015</t>
  </si>
  <si>
    <t>CHP</t>
  </si>
  <si>
    <t xml:space="preserve"> 90587 </t>
  </si>
  <si>
    <t>VIBRADOR DE IMERSÃO, DIÂMETRO DE PONTEIRA 45MM, MOTOR ELÉTRICO TRIFÁSICO POTÊNCIA DE 2 CV - CHI DIURNO. AF_06/2015</t>
  </si>
  <si>
    <t>CHI</t>
  </si>
  <si>
    <t xml:space="preserve"> 94971 </t>
  </si>
  <si>
    <t>CONCRETO FCK = 25MPA, TRAÇO 1:2,3:2,7 (CIMENTO/ AREIA MÉDIA/ BRITA 1)  - PREPARO MECÂNICO COM BETONEIRA 600 L. AF_07/2016</t>
  </si>
  <si>
    <t>REFERENCIA PARA ADOÇÃO: SINAPI. CÓDIGO 96555, MARÇO/2022. Assim sendo, foi substituido o serviço concreto fck=30 mpa para o serviço concreto fck =25 mpa</t>
  </si>
  <si>
    <t>COTAÇÃO 01</t>
  </si>
  <si>
    <t>CONSTRUÇÃO</t>
  </si>
  <si>
    <t>REMOÇÃO DE RAÍZES REMANESCENTES DE TRONCO DE ÁRVORE COM DIÂMETRO MAIOR OU IGUAL A 0,20 M E MENOR QUE 0,40 M. AF_05/2018</t>
  </si>
  <si>
    <t>EXECUÇÃO E COMPACTAÇÃO DE ATERRO COM SOLO PREDOMINANTEMENTE ARGILOSO - EXCLUSIVE SOLO, ESCAVAÇÃO, CARGA E TRANSPORTE. AF_09/2017</t>
  </si>
  <si>
    <t>INFRAESTRUTURA</t>
  </si>
  <si>
    <t>ESCAVAÇÃO MANUAL DE VALA PARA VIGA BALDRAME (INCLUINDO ESCAVAÇÃO PARA COLOCAÇÃO DE FÔRMAS). AF_06/2017</t>
  </si>
  <si>
    <t>FABRICAÇÃO, MONTAGEM E DESMONTAGEM DE FÔRMA PARA VIGA BALDRAME, EM MADEIRA SERRADA, E=17 MM, 2 UTILIZAÇÕES. AF_06/2017</t>
  </si>
  <si>
    <t>ALVENARIA DE VEDAÇÃO DE BLOCOS CERÂMICOS FURADOS NA HORIZONTAL DE 11,5X19X19 CM (ESPESSURA 11,5) E ARGAMASSA DE ASSENTAMENTO COM PREPARO MANUAL. AF_12/2021</t>
  </si>
  <si>
    <t>REVESTIMENTO CERÂMICO PARA PISO COM PLACAS TIPO ESMALTADA EXTRA DE DIMENSÕES 60X60 CM APLICADA EM AMBIENTES DE ÁREA MAIOR QUE 10 M2. AF_06/201</t>
  </si>
  <si>
    <t>MURO DE ARRIMO</t>
  </si>
  <si>
    <t>RAMPA</t>
  </si>
  <si>
    <t>TELHAMENTO COM TELHA ONDULADA DE FIBROCIMENTO E = 6 MM, COM RECOBRIMENTO LATERAL DE 1 1/4 DE ONDA PARA TELHADO COM INCLINAÇÃO MÁXIMA DE 10º, COM ATÉ 2 ÁGUAS, INCLUSO IÇAMENTO. AF_07/2019</t>
  </si>
  <si>
    <t>TRAMA DE AÇO COMPOSTA POR TERÇAS PARA TELHADOS DE ATÉ 2 ÁGUAS PARA TELHA ONDULADA DE FIBROCIMENTO, METÁLICA, PLÁSTICA OU TERMOACÚSTICA, INCLUSO TRANSPORTE VERTICAL. AF_07/2019</t>
  </si>
  <si>
    <t>RUFO EM CHAPA DE AÇO GALVANIZADO NÚMERO 24, CORTE 25 CM, INCLUSO TRANSPORTE VERTICAL. AF_07/2019</t>
  </si>
  <si>
    <t>APLICAÇÃO MANUAL DE FUNDO SELADOR ACRÍLICO EM PAREDES EXTERNAS DE CASAS. AF_06/2014</t>
  </si>
  <si>
    <t>APLICAÇÃO MANUAL DE TINTA LÁTEX ACRÍLICA EM PAREDES EXTERNAS DE CASAS, DUAS DEMÃOS. AF_11/2016</t>
  </si>
  <si>
    <t>CONTRAPISO EM ARGAMASSA PRONTA, PREPARO MANUAL, APLICADO EM ÁREAS MOLHADAS SOBRE IMPERMEABILIZAÇÃO, ESPESSURA 4CM. AF_06/2014</t>
  </si>
  <si>
    <t>LIMPEZA DE CONTRAPISO COM VASSOURA A SECO. AF_04/2019</t>
  </si>
  <si>
    <t>LIMPEZA DE PISO CERÂMICO OU PORCELANATO COM PANO ÚMIDO. AF_04/2019</t>
  </si>
  <si>
    <t>TORNEIRA CROMADA 1/2 OU 3/4 PARA TANQUE, PADRÃO MÉDIO - FORNECIMENTO E INSTALAÇÃO. AF_01/2020</t>
  </si>
  <si>
    <t>EXECUÇÃO DE PASSEIO (CALÇADA) OU PISO DE CONCRETO COM CONCRETO MOLDADO IN LOCO, FEITO EM OBRA, ACABAMENTO CONVENCIONAL, NÃO ARMADO. AF_07/2016</t>
  </si>
  <si>
    <t>MURO DE ARRIMO PADRÃO GOINFRA EM CANALETA SEM REVESTIMENTO - COM ALTURA ATÉ 2,50M</t>
  </si>
  <si>
    <t>CARPINTEIRO</t>
  </si>
  <si>
    <t>ARMADOR</t>
  </si>
  <si>
    <t>AJUDANTE</t>
  </si>
  <si>
    <t>SERVENTE</t>
  </si>
  <si>
    <t>OPERADOR DE BETONEIRA</t>
  </si>
  <si>
    <t>PEDREIRO</t>
  </si>
  <si>
    <t>AREIA GROSSA</t>
  </si>
  <si>
    <t>VIGOTA DE MADEIRA 6X12</t>
  </si>
  <si>
    <t>ESCORA ROLIÇA (TIPO EUCALIPTO)</t>
  </si>
  <si>
    <t>PREGO 18X30</t>
  </si>
  <si>
    <t>PREGO 18X24</t>
  </si>
  <si>
    <t>PONTALETE 3X3"</t>
  </si>
  <si>
    <t>TABUA PARA FORMA (30CM)</t>
  </si>
  <si>
    <t>COMPENSADO RESINADO COLA FENÓLICA 12 MM 2,2X1,1</t>
  </si>
  <si>
    <t>DESMOLDANTE PARA CONCRETO</t>
  </si>
  <si>
    <t>CAIBRO 5X6</t>
  </si>
  <si>
    <t>CANALETA DE CONCRETO 14X19X19 (NBR 6136)</t>
  </si>
  <si>
    <t>CIMENTO PORTLAND C.P. 32</t>
  </si>
  <si>
    <t>BRITA Nº 01</t>
  </si>
  <si>
    <t>BRITA Nº 02</t>
  </si>
  <si>
    <t>AÇO CA-50 12,5 MM (1/2")</t>
  </si>
  <si>
    <t>AÇO CA-50 10,0 MM (3/8")</t>
  </si>
  <si>
    <t>AÇO CA-50 8,0 MM (5/16")</t>
  </si>
  <si>
    <t>AÇO CA-60 B 5,0 MM</t>
  </si>
  <si>
    <t>ARAME RECOZIDO 18</t>
  </si>
  <si>
    <t>ARAME GALVANIZADO Nº14</t>
  </si>
  <si>
    <t>RIPA DE MADEIRA 5X1</t>
  </si>
  <si>
    <t>M³</t>
  </si>
  <si>
    <t>L</t>
  </si>
  <si>
    <t>UND</t>
  </si>
  <si>
    <t>RADIER</t>
  </si>
  <si>
    <t>4.6</t>
  </si>
  <si>
    <t>4.7</t>
  </si>
  <si>
    <t>4.7.1</t>
  </si>
  <si>
    <t>4.7.2</t>
  </si>
  <si>
    <t>4.7.3</t>
  </si>
  <si>
    <t>4.7.4</t>
  </si>
  <si>
    <t>COTAÇÃO</t>
  </si>
  <si>
    <t>FORNECIMENTO/INSTALAÇÃO DE LONA PLÁSTICA PRETA PARA IMPERMEABILIZAÇÃO, ESPESSURA 150 MICRAS.</t>
  </si>
  <si>
    <t>LASTRO COM MATERIAL GRANULAR, APLICAÇÃO EM PISOS OU RADIERS, ESPESSURA DE 5CM. AF_08/2017</t>
  </si>
  <si>
    <t>FABRICAÇÃO, MONTAGEM E DESMONTAGEM DE FORMA PARA RADIER, PISO DE CONCRETO OU LAJE SOBRE SOLO, EM MADEIRA SERRADA, 4 UTILIZAÇÕES. AF_09/2021</t>
  </si>
  <si>
    <t>6.3</t>
  </si>
  <si>
    <t>6.4</t>
  </si>
  <si>
    <t>6.5</t>
  </si>
  <si>
    <t>10.3</t>
  </si>
  <si>
    <t>5.2</t>
  </si>
  <si>
    <t>5.3</t>
  </si>
  <si>
    <t>5.4</t>
  </si>
  <si>
    <t>5.5</t>
  </si>
  <si>
    <t>5.6</t>
  </si>
  <si>
    <t>5.7</t>
  </si>
  <si>
    <t>8.3</t>
  </si>
  <si>
    <t>11.2</t>
  </si>
  <si>
    <t>13.1</t>
  </si>
  <si>
    <t>13.2</t>
  </si>
  <si>
    <t>COMP.2</t>
  </si>
  <si>
    <t>COMP.3</t>
  </si>
  <si>
    <t>COMP.4</t>
  </si>
  <si>
    <t>4.7.5</t>
  </si>
  <si>
    <t>CONCRETAGEM DE RADIER, PISO DE CONCRETO OU LAJE SOBRE SOLO, FCK 30 MPA - LANÇAMENTO, ADENSAMENTO E ACABAMENTO. AF_2021</t>
  </si>
  <si>
    <t>ARMAÇÃO PARA EXECUÇÃO DE RADIER, PISO DE CONCRETO OU LAJE SOBRE SOLO, COM USO DE TELA Q-138. AF_09/2021</t>
  </si>
  <si>
    <t>JOELHO 90 GRAUS, PVC, SOLDÁVEL, DN 25MM, INSTALADO EM RAMAL OU SUB-RAMAL DE ÁGUA - FORNECIMENTO E INSTLAÇÃO. AF_12/2014</t>
  </si>
  <si>
    <t>CURVA CURTA 90 GRAUS, PVC, SERIE NORMAL, ESGOTO PREDIAL, DN 100 MM, JUNTA ELÁSTICA, FORNECIDO E INSTALADO EM RAMAL DE DESCARGA OU RAMAL DE ESGOTO SANITÁRIO. AF_12/2014</t>
  </si>
  <si>
    <t>TE, PVC, SERIE NORMAL, ESGOTO PREDIAL, DN 100 X 100 MM, JUNTA ELÁSTICA, FORNECIDO E INSTALADO EM RAMAL DE DESCARGA OU RAMAL DE ESGOTO SANITÁRIO. AF_12/2014</t>
  </si>
  <si>
    <t>6.6</t>
  </si>
  <si>
    <t>6.7</t>
  </si>
  <si>
    <t>6.8</t>
  </si>
  <si>
    <t>COTAÇÃO 02</t>
  </si>
  <si>
    <t>6.9</t>
  </si>
  <si>
    <t>FOSSA ECOLÓGICA</t>
  </si>
  <si>
    <t>6.10</t>
  </si>
  <si>
    <t>6.11</t>
  </si>
  <si>
    <t>SUMIDOURO CIRCULAR, EM CONCRETO PRÉ-MOLDADO, DIÂMETRO INTERNO = 1,88 M, ALTURA INTERNA = 2,00 M, ÁREA DE INFILTRAÇÃO: 13,1 M² (PARA 5 CONTRIBUINTES). AF_12/2020</t>
  </si>
  <si>
    <t>FOSSA ECOLÓGICA ACOPLADA 1.000 L COM CAIXA DE GRADEAMENTO DE 60L</t>
  </si>
  <si>
    <t>CAÇAMBA BOTA FORA 05 M³</t>
  </si>
  <si>
    <t>CHAPISCO APLICADO EM ALVENARIAS E ESTRUTURAS DE CONCRETO INTERNAS, COM ROLO PARA TEXTURA ACRÍLICA. ARGAMASSA INDUSTRIALIZADA COM PREPARO EM MISTURADOR 300 KG. AF_06/2014</t>
  </si>
  <si>
    <t>EMBOÇO OU MASSA ÚNICA EM ARGAMASSA TRAÇO 1:2:8, PREPARO MANUAL, APLICADA MANUALMENTE EM PANOS CEGOS DE FACHADA (SEM PRESENÇA DE VÃOS), ESPESSURA DE 25MM. AF_06/2014</t>
  </si>
  <si>
    <t>2.4</t>
  </si>
  <si>
    <t>TAPUME COM TELHA METÁLICA. AF_05/2018</t>
  </si>
  <si>
    <t>13.3</t>
  </si>
  <si>
    <t>REMOÇÃO DE TAPUME/ CHAPAS METÁLICAS E DE MADEIRA, DE FORMA MANUAL, SEM REAPROVEITAMENTO. AF_12/2017</t>
  </si>
  <si>
    <t>CUIABÁ-MT</t>
  </si>
  <si>
    <t>CONSTRUÇÃO ABRIGO DE LIXO SEDE SEMA</t>
  </si>
  <si>
    <t xml:space="preserve">RUA C ESQUINA COM RUA F, CENTRO POLÍTICO ADMINIISTRATIVO - CEP:78.049-913 </t>
  </si>
  <si>
    <t>GOVERNO DO ESTADO DE MATO GROSSO</t>
  </si>
  <si>
    <t>PROCESSO Nº:</t>
  </si>
  <si>
    <t>CRONOGRAMA FÍSICO FINANCEIRO</t>
  </si>
  <si>
    <t>ITEM</t>
  </si>
  <si>
    <t>DESCRIÇÃO / ETAPA</t>
  </si>
  <si>
    <t>PERÍODO</t>
  </si>
  <si>
    <t>A Executar</t>
  </si>
  <si>
    <t>30 DIAS</t>
  </si>
  <si>
    <t>60 DIAS</t>
  </si>
  <si>
    <t>90 DIAS</t>
  </si>
  <si>
    <t>Valor(R$)</t>
  </si>
  <si>
    <t>%</t>
  </si>
  <si>
    <t>VALOR TOTAL</t>
  </si>
  <si>
    <t>VALOR ACUMULADO</t>
  </si>
  <si>
    <t>SECRETARIA DE ESTADO DE MEIO AMBIENTE</t>
  </si>
  <si>
    <t>SECRETARIA ADJUNTA DE ADMINISTRAÇÃO SISTÊMICA</t>
  </si>
  <si>
    <t>COORDENADORIA DE APOIO LOGÍSTICO</t>
  </si>
  <si>
    <t>GERÊNCIA DE PATRIMÔNIO IMOBILIÁRIO</t>
  </si>
  <si>
    <t>CONSTRUÇÃO ABRIGO DE LIXO SEDE DA SEMA</t>
  </si>
  <si>
    <t>FONTE: SINAPI DATA DE PREÇO MARÇO/2022 (SEM DESONERAÇÃO)</t>
  </si>
  <si>
    <t>INSTALAÇÕES HIDROSSANITÁRIAS</t>
  </si>
  <si>
    <t>DATA:   26/05/2022</t>
  </si>
  <si>
    <r>
      <rPr>
        <b/>
        <sz val="12"/>
        <rFont val="Arial"/>
        <family val="2"/>
      </rPr>
      <t xml:space="preserve">Simone da Silva Ribeiro       </t>
    </r>
    <r>
      <rPr>
        <sz val="12"/>
        <rFont val="Arial"/>
        <family val="2"/>
      </rPr>
      <t xml:space="preserve">                                                                                                                Engenheira Civil                                                                                                                                           CREA: MT039270</t>
    </r>
  </si>
  <si>
    <t>OBJETO:</t>
  </si>
  <si>
    <t>CONSTRUÇÃO ABRIGO DE LIXO</t>
  </si>
  <si>
    <t>COMPOSIÇÃO DO BDI- SEM DESONERAÇÃO</t>
  </si>
  <si>
    <t>CIDADE</t>
  </si>
  <si>
    <t>DATA</t>
  </si>
  <si>
    <t>DESCRIÇÃO</t>
  </si>
  <si>
    <t>QUANTIDADE</t>
  </si>
  <si>
    <t>1.0</t>
  </si>
  <si>
    <t>DESPESAS FINANCEIRAS (DF)</t>
  </si>
  <si>
    <t>1.1</t>
  </si>
  <si>
    <t>Administração Central (AC)</t>
  </si>
  <si>
    <t>1.2</t>
  </si>
  <si>
    <t>Garantias e Seguros (S)</t>
  </si>
  <si>
    <t>1.3</t>
  </si>
  <si>
    <t>1.4</t>
  </si>
  <si>
    <t>Despesas Financeiras (DF)</t>
  </si>
  <si>
    <t>IMPOSTO/TRIBUTOS (I)</t>
  </si>
  <si>
    <t>2.0</t>
  </si>
  <si>
    <t>PIS</t>
  </si>
  <si>
    <t>COFINS</t>
  </si>
  <si>
    <t>ISSQN</t>
  </si>
  <si>
    <t>Contribuição Previdenciária- Lei Nº13161/2015</t>
  </si>
  <si>
    <t>3.0</t>
  </si>
  <si>
    <t>LUCRO (L)</t>
  </si>
  <si>
    <t>Lucro</t>
  </si>
  <si>
    <t>TAXA TOTAL DE BDI-SERVIÇOS DE ENGENHARIA</t>
  </si>
  <si>
    <t>Riscos- R</t>
  </si>
  <si>
    <t>FÓRMULA UTILIZADA: BDI=((1+AC+S+R+G)=(1+DF)(1+L)/(1-I))-1</t>
  </si>
  <si>
    <t>Onde:</t>
  </si>
  <si>
    <t>AC =</t>
  </si>
  <si>
    <t>S =</t>
  </si>
  <si>
    <t>DF =</t>
  </si>
  <si>
    <t>taxa das despesas financeiras;</t>
  </si>
  <si>
    <t>R =</t>
  </si>
  <si>
    <t>taxa de risco, seguro e garantia do empreendimento;</t>
  </si>
  <si>
    <t>;taxa de rateio da Administração Central;</t>
  </si>
  <si>
    <t xml:space="preserve">I = </t>
  </si>
  <si>
    <t>taxa de tributos;</t>
  </si>
  <si>
    <t>L =</t>
  </si>
  <si>
    <t>taxa de lucros.</t>
  </si>
  <si>
    <t>taxa de garantias e seguros;</t>
  </si>
  <si>
    <t>OBSERVAÇÕES:</t>
  </si>
  <si>
    <t>1- Aplica-se como base de cálculo, conforme cada munícipio, do preço de venda do serviço, o</t>
  </si>
  <si>
    <t>percentual de ISSQN a ser computado no cálculo do BDI.</t>
  </si>
  <si>
    <t>“i% x xx% PV” =&gt; “x% x xx% PV” =&gt; “x,xx% PV”; onde “i” é a alíquota de ISSQN instituída pelo</t>
  </si>
  <si>
    <t>município e “PV” é o preço de venda do serviço</t>
  </si>
  <si>
    <t>Orientação Técnica nº 04/2011 da Auditoria Geral do Estado.</t>
  </si>
  <si>
    <t>2- Os valores de AC, DF, R e L, são os valores médios dos parâmetros aceitáveis para taxas de</t>
  </si>
  <si>
    <t>Bonificações e Despesas Indiretas do Acórdão nº 2.369/2011 do Tribunal de Contas da União.</t>
  </si>
  <si>
    <t>3- O percentual do valor da Administração local será 100% da Administração Central, conforme</t>
  </si>
  <si>
    <t>orientação da Doutrina da Revista 118 do Tribunal de Contas da União.</t>
  </si>
  <si>
    <t>4- O percentual do valor da mobilização e desmobilização será:MD = 57,84672*CD^ -0,30103*(dist/100),</t>
  </si>
  <si>
    <t>conforme orientação da Doutrina da Revista 118 do Tribunal de Contas da União.</t>
  </si>
  <si>
    <t>CD - Custo Direto</t>
  </si>
  <si>
    <t>dist = Distância rodoviária do centro de obra até o centro geográfico do centro urbano mais</t>
  </si>
  <si>
    <t>próximo com os meios de produção disponíveis. ( estipulado em 50 km em obra Urbana).</t>
  </si>
  <si>
    <t>MD = 57,84672* CD ^ -0,30103*(100/100)</t>
  </si>
  <si>
    <t>Engª Eliana Aparecida Gagliardi Stech</t>
  </si>
  <si>
    <t>Analista de Desenvolvimento Econômico e Social - Crea 1206273550</t>
  </si>
  <si>
    <t>Sacid / Sinfra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</si>
</sst>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#,##0.0000000"/>
    <numFmt numFmtId="166" formatCode="dd/mm/yy;@"/>
    <numFmt numFmtId="167" formatCode="_(* #,##0.00_);_(* \(#,##0.00\);_(* &quot;-&quot;??_);_(@_)"/>
  </numFmts>
  <fonts count="38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6"/>
      <name val="Arial"/>
      <family val="1"/>
    </font>
    <font>
      <sz val="16"/>
      <name val="Arial"/>
      <family val="1"/>
    </font>
    <font>
      <b/>
      <sz val="11"/>
      <name val="Arial"/>
      <family val="2"/>
    </font>
    <font>
      <sz val="11"/>
      <name val="Arial"/>
      <family val="2"/>
    </font>
    <font>
      <b/>
      <i/>
      <u/>
      <sz val="11"/>
      <color theme="9" tint="-0.249977111117893"/>
      <name val="Arial"/>
      <family val="2"/>
    </font>
    <font>
      <sz val="11"/>
      <color theme="4" tint="-0.249977111117893"/>
      <name val="Arial"/>
      <family val="1"/>
    </font>
    <font>
      <sz val="11"/>
      <color rgb="FFFF0000"/>
      <name val="Arial"/>
      <family val="1"/>
    </font>
    <font>
      <sz val="11"/>
      <name val="Arial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1"/>
    </font>
    <font>
      <sz val="10"/>
      <color theme="1"/>
      <name val="Arial"/>
      <family val="1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89">
    <xf numFmtId="0" fontId="0" fillId="0" borderId="0" xfId="0"/>
    <xf numFmtId="0" fontId="7" fillId="6" borderId="0" xfId="0" applyFont="1" applyFill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7" borderId="0" xfId="0" applyFont="1" applyFill="1" applyAlignment="1">
      <alignment horizontal="right" vertical="top" wrapText="1"/>
    </xf>
    <xf numFmtId="0" fontId="13" fillId="0" borderId="0" xfId="0" applyFont="1"/>
    <xf numFmtId="0" fontId="14" fillId="0" borderId="0" xfId="0" applyFont="1"/>
    <xf numFmtId="0" fontId="15" fillId="9" borderId="1" xfId="0" applyFont="1" applyFill="1" applyBorder="1" applyAlignment="1">
      <alignment horizontal="center" vertical="center"/>
    </xf>
    <xf numFmtId="2" fontId="0" fillId="0" borderId="0" xfId="0" applyNumberFormat="1"/>
    <xf numFmtId="0" fontId="15" fillId="9" borderId="0" xfId="0" applyFont="1" applyFill="1" applyBorder="1" applyAlignment="1">
      <alignment horizontal="center" vertical="center"/>
    </xf>
    <xf numFmtId="0" fontId="0" fillId="0" borderId="0" xfId="0" applyFont="1"/>
    <xf numFmtId="0" fontId="16" fillId="0" borderId="0" xfId="0" applyFont="1"/>
    <xf numFmtId="0" fontId="14" fillId="10" borderId="0" xfId="0" applyFont="1" applyFill="1"/>
    <xf numFmtId="0" fontId="0" fillId="10" borderId="0" xfId="0" applyFill="1"/>
    <xf numFmtId="0" fontId="0" fillId="0" borderId="0" xfId="0" applyFont="1" applyFill="1"/>
    <xf numFmtId="0" fontId="0" fillId="0" borderId="0" xfId="0" applyFill="1"/>
    <xf numFmtId="0" fontId="17" fillId="0" borderId="0" xfId="0" applyFont="1"/>
    <xf numFmtId="0" fontId="21" fillId="11" borderId="0" xfId="0" applyFont="1" applyFill="1" applyBorder="1" applyAlignment="1">
      <alignment horizontal="center" vertical="center" wrapText="1"/>
    </xf>
    <xf numFmtId="4" fontId="21" fillId="11" borderId="0" xfId="0" applyNumberFormat="1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right" vertical="center" wrapText="1"/>
    </xf>
    <xf numFmtId="10" fontId="20" fillId="11" borderId="10" xfId="0" applyNumberFormat="1" applyFont="1" applyFill="1" applyBorder="1" applyAlignment="1">
      <alignment horizontal="center" vertical="center" wrapText="1"/>
    </xf>
    <xf numFmtId="164" fontId="20" fillId="11" borderId="0" xfId="0" applyNumberFormat="1" applyFont="1" applyFill="1" applyBorder="1" applyAlignment="1">
      <alignment horizontal="right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left" vertical="center"/>
    </xf>
    <xf numFmtId="0" fontId="21" fillId="11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vertical="center"/>
    </xf>
    <xf numFmtId="0" fontId="19" fillId="11" borderId="0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center" vertical="center"/>
    </xf>
    <xf numFmtId="0" fontId="23" fillId="11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4" fillId="10" borderId="16" xfId="0" applyFont="1" applyFill="1" applyBorder="1" applyAlignment="1">
      <alignment horizontal="left" vertical="center"/>
    </xf>
    <xf numFmtId="0" fontId="24" fillId="10" borderId="1" xfId="0" applyFont="1" applyFill="1" applyBorder="1" applyAlignment="1">
      <alignment horizontal="left" vertical="center"/>
    </xf>
    <xf numFmtId="49" fontId="25" fillId="0" borderId="5" xfId="0" applyNumberFormat="1" applyFont="1" applyFill="1" applyBorder="1" applyAlignment="1">
      <alignment horizontal="left" vertical="center" wrapText="1"/>
    </xf>
    <xf numFmtId="44" fontId="25" fillId="0" borderId="1" xfId="1" applyFont="1" applyFill="1" applyBorder="1" applyAlignment="1">
      <alignment horizontal="center" vertical="center"/>
    </xf>
    <xf numFmtId="44" fontId="25" fillId="0" borderId="1" xfId="1" applyFont="1" applyFill="1" applyBorder="1" applyAlignment="1">
      <alignment horizontal="right" vertical="center"/>
    </xf>
    <xf numFmtId="44" fontId="9" fillId="0" borderId="1" xfId="1" applyFont="1" applyFill="1" applyBorder="1" applyAlignment="1">
      <alignment horizontal="center" vertical="center"/>
    </xf>
    <xf numFmtId="44" fontId="24" fillId="10" borderId="1" xfId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right" vertical="top" wrapText="1"/>
    </xf>
    <xf numFmtId="44" fontId="1" fillId="8" borderId="1" xfId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165" fontId="5" fillId="5" borderId="1" xfId="0" applyNumberFormat="1" applyFont="1" applyFill="1" applyBorder="1" applyAlignment="1">
      <alignment horizontal="right" vertical="top" wrapText="1"/>
    </xf>
    <xf numFmtId="4" fontId="5" fillId="5" borderId="1" xfId="0" applyNumberFormat="1" applyFont="1" applyFill="1" applyBorder="1" applyAlignment="1">
      <alignment horizontal="right" vertical="top" wrapText="1"/>
    </xf>
    <xf numFmtId="0" fontId="9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left" vertical="top" wrapText="1"/>
    </xf>
    <xf numFmtId="165" fontId="9" fillId="12" borderId="1" xfId="0" applyNumberFormat="1" applyFont="1" applyFill="1" applyBorder="1" applyAlignment="1">
      <alignment horizontal="right" vertical="top" wrapText="1"/>
    </xf>
    <xf numFmtId="44" fontId="9" fillId="12" borderId="1" xfId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vertical="top" wrapText="1"/>
    </xf>
    <xf numFmtId="0" fontId="6" fillId="8" borderId="6" xfId="0" applyFont="1" applyFill="1" applyBorder="1" applyAlignment="1">
      <alignment horizontal="center" vertical="top" wrapText="1"/>
    </xf>
    <xf numFmtId="44" fontId="6" fillId="8" borderId="7" xfId="1" applyFont="1" applyFill="1" applyBorder="1" applyAlignment="1">
      <alignment horizontal="center" vertical="top" wrapText="1"/>
    </xf>
    <xf numFmtId="0" fontId="24" fillId="10" borderId="1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top" wrapText="1"/>
    </xf>
    <xf numFmtId="0" fontId="9" fillId="13" borderId="1" xfId="0" applyFont="1" applyFill="1" applyBorder="1" applyAlignment="1">
      <alignment horizontal="left" vertical="top" wrapText="1"/>
    </xf>
    <xf numFmtId="165" fontId="9" fillId="13" borderId="1" xfId="0" applyNumberFormat="1" applyFont="1" applyFill="1" applyBorder="1" applyAlignment="1">
      <alignment horizontal="right" vertical="top" wrapText="1"/>
    </xf>
    <xf numFmtId="4" fontId="9" fillId="13" borderId="1" xfId="0" applyNumberFormat="1" applyFont="1" applyFill="1" applyBorder="1" applyAlignment="1">
      <alignment horizontal="right" vertical="top" wrapText="1"/>
    </xf>
    <xf numFmtId="0" fontId="9" fillId="14" borderId="1" xfId="0" applyFont="1" applyFill="1" applyBorder="1" applyAlignment="1">
      <alignment horizontal="center" vertical="top" wrapText="1"/>
    </xf>
    <xf numFmtId="0" fontId="9" fillId="14" borderId="1" xfId="0" applyFont="1" applyFill="1" applyBorder="1" applyAlignment="1">
      <alignment horizontal="left" vertical="top" wrapText="1"/>
    </xf>
    <xf numFmtId="165" fontId="9" fillId="14" borderId="1" xfId="0" applyNumberFormat="1" applyFont="1" applyFill="1" applyBorder="1" applyAlignment="1">
      <alignment horizontal="right" vertical="top" wrapText="1"/>
    </xf>
    <xf numFmtId="4" fontId="9" fillId="14" borderId="1" xfId="0" applyNumberFormat="1" applyFont="1" applyFill="1" applyBorder="1" applyAlignment="1">
      <alignment horizontal="right" vertical="top" wrapText="1"/>
    </xf>
    <xf numFmtId="44" fontId="16" fillId="0" borderId="0" xfId="0" applyNumberFormat="1" applyFont="1"/>
    <xf numFmtId="0" fontId="27" fillId="0" borderId="5" xfId="0" applyFont="1" applyFill="1" applyBorder="1" applyAlignment="1">
      <alignment horizontal="left" vertical="center" wrapText="1"/>
    </xf>
    <xf numFmtId="0" fontId="25" fillId="13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23" fillId="11" borderId="27" xfId="0" applyFont="1" applyFill="1" applyBorder="1" applyAlignment="1">
      <alignment horizontal="left" vertical="center" wrapText="1"/>
    </xf>
    <xf numFmtId="10" fontId="20" fillId="11" borderId="28" xfId="0" applyNumberFormat="1" applyFont="1" applyFill="1" applyBorder="1" applyAlignment="1">
      <alignment horizontal="center" vertical="center" wrapText="1"/>
    </xf>
    <xf numFmtId="14" fontId="20" fillId="0" borderId="28" xfId="0" applyNumberFormat="1" applyFont="1" applyFill="1" applyBorder="1" applyAlignment="1">
      <alignment horizontal="center" vertical="center" wrapText="1"/>
    </xf>
    <xf numFmtId="0" fontId="20" fillId="11" borderId="28" xfId="0" applyFont="1" applyFill="1" applyBorder="1" applyAlignment="1">
      <alignment horizontal="center" vertical="center" wrapText="1"/>
    </xf>
    <xf numFmtId="0" fontId="19" fillId="11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 vertical="center" wrapText="1"/>
    </xf>
    <xf numFmtId="165" fontId="5" fillId="12" borderId="1" xfId="0" applyNumberFormat="1" applyFont="1" applyFill="1" applyBorder="1" applyAlignment="1">
      <alignment horizontal="right" vertical="center" wrapText="1"/>
    </xf>
    <xf numFmtId="44" fontId="5" fillId="5" borderId="1" xfId="1" applyFont="1" applyFill="1" applyBorder="1" applyAlignment="1">
      <alignment horizontal="right" vertical="center" wrapText="1"/>
    </xf>
    <xf numFmtId="44" fontId="5" fillId="12" borderId="1" xfId="1" applyFont="1" applyFill="1" applyBorder="1" applyAlignment="1">
      <alignment horizontal="right" vertical="center" wrapText="1"/>
    </xf>
    <xf numFmtId="0" fontId="9" fillId="12" borderId="1" xfId="0" applyFont="1" applyFill="1" applyBorder="1" applyAlignment="1">
      <alignment horizontal="center" vertical="center" wrapText="1"/>
    </xf>
    <xf numFmtId="165" fontId="9" fillId="12" borderId="1" xfId="0" applyNumberFormat="1" applyFont="1" applyFill="1" applyBorder="1" applyAlignment="1">
      <alignment horizontal="right" vertical="center" wrapText="1"/>
    </xf>
    <xf numFmtId="44" fontId="9" fillId="12" borderId="1" xfId="1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left" vertical="center" wrapText="1"/>
    </xf>
    <xf numFmtId="44" fontId="23" fillId="8" borderId="37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29" fillId="11" borderId="2" xfId="0" applyFont="1" applyFill="1" applyBorder="1" applyAlignment="1">
      <alignment vertical="center"/>
    </xf>
    <xf numFmtId="0" fontId="29" fillId="11" borderId="3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0" fillId="11" borderId="4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11" borderId="10" xfId="0" applyFill="1" applyBorder="1" applyAlignment="1">
      <alignment vertical="center"/>
    </xf>
    <xf numFmtId="0" fontId="20" fillId="11" borderId="38" xfId="0" applyFont="1" applyFill="1" applyBorder="1" applyAlignment="1">
      <alignment vertical="center"/>
    </xf>
    <xf numFmtId="0" fontId="21" fillId="11" borderId="25" xfId="0" applyFont="1" applyFill="1" applyBorder="1" applyAlignment="1">
      <alignment vertical="center" wrapText="1"/>
    </xf>
    <xf numFmtId="0" fontId="0" fillId="11" borderId="25" xfId="0" applyFill="1" applyBorder="1" applyAlignment="1">
      <alignment vertical="center" wrapText="1"/>
    </xf>
    <xf numFmtId="0" fontId="21" fillId="11" borderId="39" xfId="0" applyFont="1" applyFill="1" applyBorder="1" applyAlignment="1">
      <alignment vertical="center"/>
    </xf>
    <xf numFmtId="0" fontId="20" fillId="11" borderId="9" xfId="0" applyFont="1" applyFill="1" applyBorder="1" applyAlignment="1">
      <alignment vertical="center" wrapText="1"/>
    </xf>
    <xf numFmtId="10" fontId="20" fillId="11" borderId="10" xfId="2" applyNumberFormat="1" applyFont="1" applyFill="1" applyBorder="1" applyAlignment="1">
      <alignment horizontal="center" vertical="center" wrapText="1"/>
    </xf>
    <xf numFmtId="0" fontId="19" fillId="11" borderId="0" xfId="0" applyFont="1" applyFill="1" applyBorder="1"/>
    <xf numFmtId="10" fontId="19" fillId="11" borderId="10" xfId="0" applyNumberFormat="1" applyFont="1" applyFill="1" applyBorder="1" applyAlignment="1">
      <alignment horizontal="center"/>
    </xf>
    <xf numFmtId="166" fontId="20" fillId="11" borderId="10" xfId="2" applyNumberFormat="1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vertical="center" wrapText="1"/>
    </xf>
    <xf numFmtId="0" fontId="21" fillId="11" borderId="8" xfId="0" applyFont="1" applyFill="1" applyBorder="1" applyAlignment="1">
      <alignment horizontal="left" vertical="center" wrapText="1"/>
    </xf>
    <xf numFmtId="0" fontId="20" fillId="11" borderId="8" xfId="0" applyFont="1" applyFill="1" applyBorder="1" applyAlignment="1">
      <alignment horizontal="right" vertical="center" wrapText="1"/>
    </xf>
    <xf numFmtId="0" fontId="32" fillId="11" borderId="12" xfId="0" applyFont="1" applyFill="1" applyBorder="1" applyAlignment="1">
      <alignment horizontal="center" vertical="center" wrapText="1"/>
    </xf>
    <xf numFmtId="0" fontId="20" fillId="11" borderId="45" xfId="0" applyFont="1" applyFill="1" applyBorder="1" applyAlignment="1">
      <alignment horizontal="center" vertical="center"/>
    </xf>
    <xf numFmtId="43" fontId="20" fillId="11" borderId="46" xfId="2" applyFont="1" applyFill="1" applyBorder="1" applyAlignment="1">
      <alignment horizontal="center" vertical="center"/>
    </xf>
    <xf numFmtId="0" fontId="20" fillId="11" borderId="46" xfId="0" applyFont="1" applyFill="1" applyBorder="1" applyAlignment="1">
      <alignment horizontal="center" vertical="center"/>
    </xf>
    <xf numFmtId="10" fontId="20" fillId="11" borderId="46" xfId="0" applyNumberFormat="1" applyFont="1" applyFill="1" applyBorder="1" applyAlignment="1">
      <alignment horizontal="center" vertical="center"/>
    </xf>
    <xf numFmtId="2" fontId="20" fillId="11" borderId="47" xfId="0" applyNumberFormat="1" applyFont="1" applyFill="1" applyBorder="1" applyAlignment="1">
      <alignment horizontal="center" vertical="center"/>
    </xf>
    <xf numFmtId="0" fontId="19" fillId="11" borderId="48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left" vertical="center" wrapText="1"/>
    </xf>
    <xf numFmtId="44" fontId="21" fillId="11" borderId="1" xfId="1" applyFont="1" applyFill="1" applyBorder="1" applyAlignment="1">
      <alignment horizontal="center" vertical="center"/>
    </xf>
    <xf numFmtId="4" fontId="21" fillId="11" borderId="1" xfId="3" applyNumberFormat="1" applyFont="1" applyFill="1" applyBorder="1" applyAlignment="1" applyProtection="1">
      <alignment horizontal="center" vertical="center"/>
      <protection locked="0"/>
    </xf>
    <xf numFmtId="167" fontId="21" fillId="11" borderId="1" xfId="0" applyNumberFormat="1" applyFont="1" applyFill="1" applyBorder="1" applyAlignment="1">
      <alignment horizontal="center" vertical="center"/>
    </xf>
    <xf numFmtId="10" fontId="21" fillId="11" borderId="1" xfId="0" applyNumberFormat="1" applyFont="1" applyFill="1" applyBorder="1" applyAlignment="1">
      <alignment horizontal="center" vertical="center"/>
    </xf>
    <xf numFmtId="10" fontId="21" fillId="11" borderId="45" xfId="0" applyNumberFormat="1" applyFont="1" applyFill="1" applyBorder="1" applyAlignment="1">
      <alignment vertical="center"/>
    </xf>
    <xf numFmtId="10" fontId="0" fillId="11" borderId="0" xfId="0" applyNumberFormat="1" applyFill="1"/>
    <xf numFmtId="10" fontId="21" fillId="11" borderId="1" xfId="3" applyNumberFormat="1" applyFont="1" applyFill="1" applyBorder="1" applyAlignment="1">
      <alignment horizontal="center" vertical="center"/>
    </xf>
    <xf numFmtId="44" fontId="21" fillId="0" borderId="1" xfId="1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left" vertical="center" wrapText="1"/>
    </xf>
    <xf numFmtId="44" fontId="21" fillId="0" borderId="16" xfId="1" applyFont="1" applyFill="1" applyBorder="1" applyAlignment="1">
      <alignment horizontal="center" vertical="center"/>
    </xf>
    <xf numFmtId="10" fontId="21" fillId="11" borderId="16" xfId="0" applyNumberFormat="1" applyFont="1" applyFill="1" applyBorder="1" applyAlignment="1">
      <alignment horizontal="center" vertical="center"/>
    </xf>
    <xf numFmtId="44" fontId="21" fillId="11" borderId="16" xfId="1" applyFont="1" applyFill="1" applyBorder="1" applyAlignment="1">
      <alignment horizontal="center" vertical="center"/>
    </xf>
    <xf numFmtId="0" fontId="21" fillId="11" borderId="49" xfId="0" applyFont="1" applyFill="1" applyBorder="1" applyAlignment="1">
      <alignment horizontal="center" vertical="center"/>
    </xf>
    <xf numFmtId="0" fontId="20" fillId="11" borderId="43" xfId="0" applyFont="1" applyFill="1" applyBorder="1" applyAlignment="1">
      <alignment horizontal="right" vertical="center"/>
    </xf>
    <xf numFmtId="167" fontId="20" fillId="11" borderId="43" xfId="0" applyNumberFormat="1" applyFont="1" applyFill="1" applyBorder="1" applyAlignment="1">
      <alignment horizontal="center" vertical="center"/>
    </xf>
    <xf numFmtId="4" fontId="20" fillId="11" borderId="43" xfId="3" applyNumberFormat="1" applyFont="1" applyFill="1" applyBorder="1" applyAlignment="1">
      <alignment horizontal="center" vertical="center"/>
    </xf>
    <xf numFmtId="4" fontId="20" fillId="11" borderId="43" xfId="0" applyNumberFormat="1" applyFont="1" applyFill="1" applyBorder="1" applyAlignment="1">
      <alignment horizontal="center" vertical="center"/>
    </xf>
    <xf numFmtId="10" fontId="20" fillId="11" borderId="43" xfId="0" applyNumberFormat="1" applyFont="1" applyFill="1" applyBorder="1" applyAlignment="1">
      <alignment horizontal="center" vertical="center"/>
    </xf>
    <xf numFmtId="10" fontId="21" fillId="11" borderId="50" xfId="0" applyNumberFormat="1" applyFont="1" applyFill="1" applyBorder="1" applyAlignment="1">
      <alignment vertical="center"/>
    </xf>
    <xf numFmtId="0" fontId="21" fillId="11" borderId="51" xfId="0" applyFont="1" applyFill="1" applyBorder="1" applyAlignment="1">
      <alignment horizontal="center" vertical="center"/>
    </xf>
    <xf numFmtId="0" fontId="20" fillId="11" borderId="52" xfId="0" applyFont="1" applyFill="1" applyBorder="1" applyAlignment="1">
      <alignment horizontal="right" vertical="center"/>
    </xf>
    <xf numFmtId="167" fontId="21" fillId="11" borderId="52" xfId="0" applyNumberFormat="1" applyFont="1" applyFill="1" applyBorder="1" applyAlignment="1">
      <alignment vertical="center"/>
    </xf>
    <xf numFmtId="4" fontId="21" fillId="11" borderId="52" xfId="3" applyNumberFormat="1" applyFont="1" applyFill="1" applyBorder="1" applyAlignment="1">
      <alignment horizontal="center" vertical="center"/>
    </xf>
    <xf numFmtId="4" fontId="20" fillId="11" borderId="52" xfId="0" applyNumberFormat="1" applyFont="1" applyFill="1" applyBorder="1" applyAlignment="1">
      <alignment horizontal="center" vertical="center"/>
    </xf>
    <xf numFmtId="10" fontId="20" fillId="11" borderId="52" xfId="0" applyNumberFormat="1" applyFont="1" applyFill="1" applyBorder="1" applyAlignment="1">
      <alignment horizontal="center" vertical="center"/>
    </xf>
    <xf numFmtId="4" fontId="21" fillId="11" borderId="35" xfId="0" applyNumberFormat="1" applyFont="1" applyFill="1" applyBorder="1" applyAlignment="1">
      <alignment vertical="center"/>
    </xf>
    <xf numFmtId="44" fontId="0" fillId="11" borderId="0" xfId="0" applyNumberFormat="1" applyFill="1"/>
    <xf numFmtId="10" fontId="0" fillId="11" borderId="0" xfId="3" applyNumberFormat="1" applyFont="1" applyFill="1"/>
    <xf numFmtId="44" fontId="37" fillId="10" borderId="20" xfId="1" applyFont="1" applyFill="1" applyBorder="1" applyAlignment="1">
      <alignment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21" fillId="11" borderId="0" xfId="0" applyFont="1" applyFill="1" applyBorder="1" applyAlignment="1">
      <alignment horizontal="left" vertical="center" wrapText="1"/>
    </xf>
    <xf numFmtId="0" fontId="20" fillId="11" borderId="0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center" vertical="center"/>
    </xf>
    <xf numFmtId="0" fontId="13" fillId="16" borderId="17" xfId="0" applyFont="1" applyFill="1" applyBorder="1" applyAlignment="1">
      <alignment horizontal="center"/>
    </xf>
    <xf numFmtId="0" fontId="13" fillId="16" borderId="22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left" vertical="top" wrapText="1"/>
    </xf>
    <xf numFmtId="164" fontId="20" fillId="11" borderId="0" xfId="0" applyNumberFormat="1" applyFont="1" applyFill="1" applyBorder="1" applyAlignment="1">
      <alignment horizontal="left" vertical="top" wrapText="1"/>
    </xf>
    <xf numFmtId="0" fontId="19" fillId="11" borderId="0" xfId="0" applyFont="1" applyFill="1" applyBorder="1" applyAlignment="1">
      <alignment horizontal="left" vertical="top"/>
    </xf>
    <xf numFmtId="0" fontId="13" fillId="17" borderId="22" xfId="0" applyFont="1" applyFill="1" applyBorder="1" applyAlignment="1">
      <alignment horizontal="center"/>
    </xf>
    <xf numFmtId="0" fontId="13" fillId="17" borderId="22" xfId="0" applyFont="1" applyFill="1" applyBorder="1" applyAlignment="1"/>
    <xf numFmtId="0" fontId="0" fillId="0" borderId="0" xfId="0" applyFill="1" applyBorder="1" applyAlignment="1">
      <alignment horizontal="center"/>
    </xf>
    <xf numFmtId="0" fontId="13" fillId="17" borderId="17" xfId="0" applyFon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13" fillId="0" borderId="0" xfId="0" applyFon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21" fillId="11" borderId="0" xfId="0" applyFont="1" applyFill="1" applyBorder="1" applyAlignment="1">
      <alignment horizontal="left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19" fillId="11" borderId="25" xfId="0" applyFont="1" applyFill="1" applyBorder="1" applyAlignment="1">
      <alignment horizontal="center" vertical="center" wrapText="1"/>
    </xf>
    <xf numFmtId="0" fontId="19" fillId="11" borderId="26" xfId="0" applyFont="1" applyFill="1" applyBorder="1" applyAlignment="1">
      <alignment horizontal="center" vertical="center" wrapText="1"/>
    </xf>
    <xf numFmtId="0" fontId="19" fillId="11" borderId="27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 wrapText="1"/>
    </xf>
    <xf numFmtId="0" fontId="19" fillId="11" borderId="28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left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right" vertical="center" wrapText="1"/>
    </xf>
    <xf numFmtId="0" fontId="10" fillId="10" borderId="19" xfId="0" applyFont="1" applyFill="1" applyBorder="1" applyAlignment="1">
      <alignment horizontal="right" vertical="center" wrapText="1"/>
    </xf>
    <xf numFmtId="0" fontId="24" fillId="10" borderId="5" xfId="0" applyFont="1" applyFill="1" applyBorder="1" applyAlignment="1">
      <alignment horizontal="left" vertical="center"/>
    </xf>
    <xf numFmtId="0" fontId="24" fillId="10" borderId="6" xfId="0" applyFont="1" applyFill="1" applyBorder="1" applyAlignment="1">
      <alignment horizontal="left" vertical="center"/>
    </xf>
    <xf numFmtId="0" fontId="24" fillId="10" borderId="7" xfId="0" applyFont="1" applyFill="1" applyBorder="1" applyAlignment="1">
      <alignment horizontal="left" vertical="center"/>
    </xf>
    <xf numFmtId="0" fontId="11" fillId="10" borderId="32" xfId="0" applyFont="1" applyFill="1" applyBorder="1" applyAlignment="1">
      <alignment horizontal="center"/>
    </xf>
    <xf numFmtId="0" fontId="12" fillId="10" borderId="22" xfId="0" applyFont="1" applyFill="1" applyBorder="1" applyAlignment="1"/>
    <xf numFmtId="0" fontId="12" fillId="10" borderId="33" xfId="0" applyFont="1" applyFill="1" applyBorder="1" applyAlignment="1"/>
    <xf numFmtId="0" fontId="24" fillId="10" borderId="18" xfId="0" applyFont="1" applyFill="1" applyBorder="1" applyAlignment="1">
      <alignment horizontal="left" vertical="center"/>
    </xf>
    <xf numFmtId="0" fontId="24" fillId="10" borderId="19" xfId="0" applyFont="1" applyFill="1" applyBorder="1" applyAlignment="1">
      <alignment horizontal="left" vertical="center"/>
    </xf>
    <xf numFmtId="0" fontId="24" fillId="10" borderId="20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top" wrapText="1"/>
    </xf>
    <xf numFmtId="0" fontId="11" fillId="10" borderId="17" xfId="0" applyFont="1" applyFill="1" applyBorder="1" applyAlignment="1">
      <alignment horizontal="center"/>
    </xf>
    <xf numFmtId="0" fontId="12" fillId="10" borderId="23" xfId="0" applyFont="1" applyFill="1" applyBorder="1" applyAlignment="1"/>
    <xf numFmtId="0" fontId="9" fillId="8" borderId="13" xfId="0" applyFont="1" applyFill="1" applyBorder="1" applyAlignment="1">
      <alignment horizontal="left" vertical="top" wrapText="1"/>
    </xf>
    <xf numFmtId="0" fontId="9" fillId="8" borderId="14" xfId="0" applyFont="1" applyFill="1" applyBorder="1" applyAlignment="1">
      <alignment horizontal="left" vertical="top" wrapText="1"/>
    </xf>
    <xf numFmtId="0" fontId="9" fillId="8" borderId="15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0" fontId="19" fillId="11" borderId="2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20" fillId="17" borderId="22" xfId="0" applyNumberFormat="1" applyFont="1" applyFill="1" applyBorder="1" applyAlignment="1">
      <alignment horizontal="center"/>
    </xf>
    <xf numFmtId="0" fontId="20" fillId="17" borderId="23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0" fillId="17" borderId="17" xfId="0" applyFont="1" applyFill="1" applyBorder="1" applyAlignment="1">
      <alignment horizontal="center"/>
    </xf>
    <xf numFmtId="0" fontId="20" fillId="17" borderId="22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0" fontId="13" fillId="17" borderId="22" xfId="0" applyNumberFormat="1" applyFont="1" applyFill="1" applyBorder="1" applyAlignment="1">
      <alignment horizontal="center"/>
    </xf>
    <xf numFmtId="10" fontId="13" fillId="17" borderId="23" xfId="0" applyNumberFormat="1" applyFont="1" applyFill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10" fontId="0" fillId="0" borderId="10" xfId="3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3" fillId="16" borderId="22" xfId="0" applyFont="1" applyFill="1" applyBorder="1" applyAlignment="1">
      <alignment horizontal="center"/>
    </xf>
    <xf numFmtId="0" fontId="13" fillId="16" borderId="23" xfId="0" applyFont="1" applyFill="1" applyBorder="1" applyAlignment="1">
      <alignment horizontal="center"/>
    </xf>
    <xf numFmtId="0" fontId="27" fillId="11" borderId="2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 wrapText="1"/>
    </xf>
    <xf numFmtId="0" fontId="27" fillId="11" borderId="8" xfId="0" applyFont="1" applyFill="1" applyBorder="1" applyAlignment="1">
      <alignment horizontal="center" vertical="center" wrapText="1"/>
    </xf>
    <xf numFmtId="0" fontId="27" fillId="11" borderId="12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left" vertical="center" wrapText="1"/>
    </xf>
    <xf numFmtId="0" fontId="21" fillId="11" borderId="3" xfId="0" applyFont="1" applyFill="1" applyBorder="1" applyAlignment="1">
      <alignment horizontal="left" vertical="center" wrapText="1"/>
    </xf>
    <xf numFmtId="0" fontId="21" fillId="11" borderId="4" xfId="0" applyFont="1" applyFill="1" applyBorder="1" applyAlignment="1">
      <alignment horizontal="left" vertical="center" wrapText="1"/>
    </xf>
    <xf numFmtId="0" fontId="21" fillId="11" borderId="11" xfId="0" applyFont="1" applyFill="1" applyBorder="1" applyAlignment="1">
      <alignment horizontal="left" vertical="center" wrapText="1"/>
    </xf>
    <xf numFmtId="0" fontId="21" fillId="11" borderId="8" xfId="0" applyFont="1" applyFill="1" applyBorder="1" applyAlignment="1">
      <alignment horizontal="left" vertical="center" wrapText="1"/>
    </xf>
    <xf numFmtId="0" fontId="21" fillId="11" borderId="12" xfId="0" applyFont="1" applyFill="1" applyBorder="1" applyAlignment="1">
      <alignment horizontal="left" vertical="center" wrapText="1"/>
    </xf>
    <xf numFmtId="0" fontId="36" fillId="11" borderId="9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center" vertical="center"/>
    </xf>
    <xf numFmtId="0" fontId="36" fillId="11" borderId="10" xfId="0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/>
    </xf>
    <xf numFmtId="0" fontId="20" fillId="11" borderId="22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33" fillId="15" borderId="34" xfId="0" applyFont="1" applyFill="1" applyBorder="1" applyAlignment="1">
      <alignment horizontal="center" vertical="center" wrapText="1"/>
    </xf>
    <xf numFmtId="0" fontId="33" fillId="15" borderId="40" xfId="0" applyFont="1" applyFill="1" applyBorder="1" applyAlignment="1">
      <alignment horizontal="center" vertical="center" wrapText="1"/>
    </xf>
    <xf numFmtId="0" fontId="33" fillId="15" borderId="32" xfId="0" applyFont="1" applyFill="1" applyBorder="1" applyAlignment="1">
      <alignment horizontal="center" vertical="center" wrapText="1"/>
    </xf>
    <xf numFmtId="0" fontId="34" fillId="15" borderId="41" xfId="0" applyFont="1" applyFill="1" applyBorder="1" applyAlignment="1">
      <alignment vertical="center"/>
    </xf>
    <xf numFmtId="49" fontId="20" fillId="11" borderId="42" xfId="0" applyNumberFormat="1" applyFont="1" applyFill="1" applyBorder="1" applyAlignment="1">
      <alignment horizontal="center" vertical="center" wrapText="1"/>
    </xf>
    <xf numFmtId="49" fontId="20" fillId="11" borderId="44" xfId="0" applyNumberFormat="1" applyFont="1" applyFill="1" applyBorder="1" applyAlignment="1">
      <alignment horizontal="center" vertical="center" wrapText="1"/>
    </xf>
    <xf numFmtId="0" fontId="21" fillId="11" borderId="44" xfId="0" applyFont="1" applyFill="1" applyBorder="1" applyAlignment="1">
      <alignment horizontal="center" vertical="center" wrapText="1"/>
    </xf>
    <xf numFmtId="0" fontId="20" fillId="11" borderId="43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0" fillId="11" borderId="30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vertical="center"/>
    </xf>
    <xf numFmtId="49" fontId="20" fillId="11" borderId="1" xfId="0" applyNumberFormat="1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330272</xdr:colOff>
      <xdr:row>0</xdr:row>
      <xdr:rowOff>235754</xdr:rowOff>
    </xdr:from>
    <xdr:to>
      <xdr:col>1</xdr:col>
      <xdr:colOff>107449</xdr:colOff>
      <xdr:row>4</xdr:row>
      <xdr:rowOff>113643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AC3E8-8FC1-47E9-B1BF-6D7AAA81DF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2" y="235754"/>
          <a:ext cx="740469" cy="703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330272</xdr:colOff>
      <xdr:row>0</xdr:row>
      <xdr:rowOff>178604</xdr:rowOff>
    </xdr:from>
    <xdr:to>
      <xdr:col>1</xdr:col>
      <xdr:colOff>229913</xdr:colOff>
      <xdr:row>4</xdr:row>
      <xdr:rowOff>113643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AC3E8-8FC1-47E9-B1BF-6D7AAA81DF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2" y="178604"/>
          <a:ext cx="740082" cy="708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330272</xdr:colOff>
      <xdr:row>0</xdr:row>
      <xdr:rowOff>178604</xdr:rowOff>
    </xdr:from>
    <xdr:to>
      <xdr:col>0</xdr:col>
      <xdr:colOff>1068113</xdr:colOff>
      <xdr:row>4</xdr:row>
      <xdr:rowOff>161268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AC3E8-8FC1-47E9-B1BF-6D7AAA81DF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2" y="178604"/>
          <a:ext cx="737841" cy="706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330272</xdr:colOff>
      <xdr:row>0</xdr:row>
      <xdr:rowOff>178604</xdr:rowOff>
    </xdr:from>
    <xdr:to>
      <xdr:col>1</xdr:col>
      <xdr:colOff>201338</xdr:colOff>
      <xdr:row>4</xdr:row>
      <xdr:rowOff>161268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AC3E8-8FC1-47E9-B1BF-6D7AAA81DF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2" y="178604"/>
          <a:ext cx="737841" cy="706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123825</xdr:rowOff>
    </xdr:from>
    <xdr:to>
      <xdr:col>2</xdr:col>
      <xdr:colOff>146050</xdr:colOff>
      <xdr:row>5</xdr:row>
      <xdr:rowOff>161397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8AC3E8-8FC1-47E9-B1BF-6D7AAA81DF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314325"/>
          <a:ext cx="889000" cy="875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pasta_24/GER&#202;NCIA%20DE%20PATRIM&#212;NIO%20IMOBILI&#193;RIO-GEPI/2022/PROJETOS/20.%20ABRIGO%20PARA%20BARCOS_PROJ%20SINFRA/Or&#231;amento%20-%20Abrigo%20para%20barcos%20-%20SEMA%20(Sem%20Desonera&#231;&#227;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SEM DESONERAÇÃO"/>
      <sheetName val="Sintético - Sem Desonerado"/>
      <sheetName val="CRONOGRAMA SEM DESONERAÇÃO"/>
      <sheetName val="Composição Analítica (SD)"/>
      <sheetName val="CURVA ABC - Serviços"/>
      <sheetName val="COTAÇÃO"/>
      <sheetName val="ADM LOCAL"/>
      <sheetName val="BDI - Sem Desoneração"/>
      <sheetName val="BDI Diferenciado"/>
      <sheetName val="Encargos Sociais"/>
      <sheetName val="ISSQN"/>
      <sheetName val="BDI NÃO DESONERADO"/>
    </sheetNames>
    <sheetDataSet>
      <sheetData sheetId="0">
        <row r="8">
          <cell r="F8">
            <v>0.2223</v>
          </cell>
        </row>
        <row r="10">
          <cell r="C10" t="str">
            <v>RUA C, ESQUINA COM A RUA F, CENTRO POLÍTICO ADMINISTRATIVO</v>
          </cell>
        </row>
        <row r="11">
          <cell r="C11" t="str">
            <v>CUIABÁ - MT</v>
          </cell>
        </row>
        <row r="12">
          <cell r="C12" t="str">
            <v>CONSTRUÇÃO</v>
          </cell>
        </row>
        <row r="17">
          <cell r="C17" t="str">
            <v>ADMINISTRAÇÃO LOCAL DE OBRA</v>
          </cell>
          <cell r="D17"/>
        </row>
        <row r="18">
          <cell r="C18" t="str">
            <v>SERVIÇOS PRELIMINARES</v>
          </cell>
          <cell r="D18"/>
        </row>
        <row r="19">
          <cell r="C19" t="str">
            <v>MOVIMENTO DE TERRA</v>
          </cell>
          <cell r="D19"/>
        </row>
        <row r="20">
          <cell r="C20" t="str">
            <v>INFRAESTRUTURA</v>
          </cell>
          <cell r="D20"/>
        </row>
        <row r="21">
          <cell r="C21" t="str">
            <v>SUPRAESTRUTURA</v>
          </cell>
          <cell r="D21"/>
        </row>
      </sheetData>
      <sheetData sheetId="1">
        <row r="8">
          <cell r="B8" t="str">
            <v>OBRA:</v>
          </cell>
          <cell r="H8" t="str">
            <v>BDI:</v>
          </cell>
        </row>
        <row r="10">
          <cell r="B10" t="str">
            <v>ENDEREÇO:</v>
          </cell>
          <cell r="H10" t="str">
            <v>Data:</v>
          </cell>
        </row>
        <row r="11">
          <cell r="B11" t="str">
            <v>MUNICÍPIO:</v>
          </cell>
        </row>
        <row r="12">
          <cell r="B12" t="str">
            <v>ASSUNTO:</v>
          </cell>
          <cell r="H12" t="str">
            <v>Revisão:</v>
          </cell>
        </row>
        <row r="60">
          <cell r="D60" t="str">
            <v>REVESTIMENTO</v>
          </cell>
        </row>
        <row r="65">
          <cell r="D65" t="str">
            <v>ESQUADRIAS</v>
          </cell>
        </row>
        <row r="128">
          <cell r="I128">
            <v>607787.67000000004</v>
          </cell>
        </row>
        <row r="129">
          <cell r="F129">
            <v>607787.67000000004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Normal="100" zoomScaleSheetLayoutView="100" workbookViewId="0">
      <selection activeCell="L73" sqref="L73"/>
    </sheetView>
  </sheetViews>
  <sheetFormatPr defaultRowHeight="14.25" x14ac:dyDescent="0.2"/>
  <cols>
    <col min="1" max="1" width="12.625" style="2" customWidth="1"/>
    <col min="2" max="2" width="13.25" style="2" bestFit="1" customWidth="1"/>
    <col min="3" max="3" width="78.125" style="2" customWidth="1"/>
    <col min="4" max="4" width="8" style="2" bestFit="1" customWidth="1"/>
    <col min="5" max="5" width="8.5" style="5" customWidth="1"/>
    <col min="6" max="6" width="13" style="5" bestFit="1" customWidth="1"/>
    <col min="7" max="7" width="13.125" style="2" customWidth="1"/>
    <col min="8" max="8" width="24.875" style="3" customWidth="1"/>
    <col min="9" max="9" width="19.125" style="2" customWidth="1"/>
    <col min="10" max="16384" width="9" style="2"/>
  </cols>
  <sheetData>
    <row r="1" spans="1:9" ht="14.25" customHeight="1" x14ac:dyDescent="0.2">
      <c r="A1" s="195" t="s">
        <v>117</v>
      </c>
      <c r="B1" s="196"/>
      <c r="C1" s="196"/>
      <c r="D1" s="196"/>
      <c r="E1" s="196"/>
      <c r="F1" s="196"/>
      <c r="G1" s="196"/>
      <c r="H1" s="197"/>
    </row>
    <row r="2" spans="1:9" ht="15.75" customHeight="1" x14ac:dyDescent="0.2">
      <c r="A2" s="198"/>
      <c r="B2" s="199"/>
      <c r="C2" s="199"/>
      <c r="D2" s="199"/>
      <c r="E2" s="199"/>
      <c r="F2" s="199"/>
      <c r="G2" s="199"/>
      <c r="H2" s="200"/>
    </row>
    <row r="3" spans="1:9" ht="15" customHeight="1" x14ac:dyDescent="0.2">
      <c r="A3" s="198"/>
      <c r="B3" s="199"/>
      <c r="C3" s="199"/>
      <c r="D3" s="199"/>
      <c r="E3" s="199"/>
      <c r="F3" s="199"/>
      <c r="G3" s="199"/>
      <c r="H3" s="200"/>
    </row>
    <row r="4" spans="1:9" ht="15.75" customHeight="1" x14ac:dyDescent="0.2">
      <c r="A4" s="198"/>
      <c r="B4" s="199"/>
      <c r="C4" s="199"/>
      <c r="D4" s="199"/>
      <c r="E4" s="199"/>
      <c r="F4" s="199"/>
      <c r="G4" s="199"/>
      <c r="H4" s="200"/>
    </row>
    <row r="5" spans="1:9" ht="15.75" customHeight="1" x14ac:dyDescent="0.2">
      <c r="A5" s="198"/>
      <c r="B5" s="199"/>
      <c r="C5" s="199"/>
      <c r="D5" s="199"/>
      <c r="E5" s="199"/>
      <c r="F5" s="199"/>
      <c r="G5" s="199"/>
      <c r="H5" s="200"/>
    </row>
    <row r="6" spans="1:9" ht="15.75" customHeight="1" x14ac:dyDescent="0.2">
      <c r="A6" s="198"/>
      <c r="B6" s="199"/>
      <c r="C6" s="199"/>
      <c r="D6" s="199"/>
      <c r="E6" s="199"/>
      <c r="F6" s="199"/>
      <c r="G6" s="199"/>
      <c r="H6" s="200"/>
    </row>
    <row r="7" spans="1:9" ht="15.75" x14ac:dyDescent="0.2">
      <c r="A7" s="83" t="s">
        <v>108</v>
      </c>
      <c r="B7" s="204" t="s">
        <v>279</v>
      </c>
      <c r="C7" s="204"/>
      <c r="D7" s="20"/>
      <c r="E7" s="21"/>
      <c r="F7" s="21"/>
      <c r="G7" s="22" t="s">
        <v>109</v>
      </c>
      <c r="H7" s="84">
        <v>0.2223</v>
      </c>
    </row>
    <row r="8" spans="1:9" ht="30" customHeight="1" x14ac:dyDescent="0.2">
      <c r="A8" s="83" t="s">
        <v>110</v>
      </c>
      <c r="B8" s="194" t="s">
        <v>280</v>
      </c>
      <c r="C8" s="194"/>
      <c r="D8" s="20"/>
      <c r="E8" s="21"/>
      <c r="F8" s="21"/>
      <c r="G8" s="24" t="s">
        <v>111</v>
      </c>
      <c r="H8" s="85">
        <v>44707</v>
      </c>
    </row>
    <row r="9" spans="1:9" ht="15.75" x14ac:dyDescent="0.2">
      <c r="A9" s="83" t="s">
        <v>112</v>
      </c>
      <c r="B9" s="194" t="s">
        <v>278</v>
      </c>
      <c r="C9" s="194"/>
      <c r="D9" s="20"/>
      <c r="E9" s="21"/>
      <c r="F9" s="21"/>
      <c r="G9" s="24" t="s">
        <v>113</v>
      </c>
      <c r="H9" s="86" t="s">
        <v>125</v>
      </c>
    </row>
    <row r="10" spans="1:9" ht="25.5" customHeight="1" thickBot="1" x14ac:dyDescent="0.25">
      <c r="A10" s="83" t="s">
        <v>114</v>
      </c>
      <c r="B10" s="27" t="s">
        <v>176</v>
      </c>
      <c r="C10" s="28"/>
      <c r="D10" s="29"/>
      <c r="E10" s="21"/>
      <c r="F10" s="21"/>
      <c r="G10" s="30" t="s">
        <v>115</v>
      </c>
      <c r="H10" s="87" t="s">
        <v>116</v>
      </c>
    </row>
    <row r="11" spans="1:9" ht="15" customHeight="1" thickBot="1" x14ac:dyDescent="0.25">
      <c r="A11" s="201" t="s">
        <v>118</v>
      </c>
      <c r="B11" s="202"/>
      <c r="C11" s="202"/>
      <c r="D11" s="202"/>
      <c r="E11" s="202"/>
      <c r="F11" s="202"/>
      <c r="G11" s="202"/>
      <c r="H11" s="203"/>
    </row>
    <row r="12" spans="1:9" ht="21" customHeight="1" thickBot="1" x14ac:dyDescent="0.35">
      <c r="A12" s="212" t="s">
        <v>123</v>
      </c>
      <c r="B12" s="213"/>
      <c r="C12" s="213"/>
      <c r="D12" s="213"/>
      <c r="E12" s="213"/>
      <c r="F12" s="213"/>
      <c r="G12" s="213"/>
      <c r="H12" s="214"/>
    </row>
    <row r="13" spans="1:9" s="6" customFormat="1" ht="30" customHeight="1" thickBot="1" x14ac:dyDescent="0.25">
      <c r="A13" s="88" t="s">
        <v>0</v>
      </c>
      <c r="B13" s="33" t="s">
        <v>119</v>
      </c>
      <c r="C13" s="34" t="s">
        <v>1</v>
      </c>
      <c r="D13" s="35" t="s">
        <v>2</v>
      </c>
      <c r="E13" s="36" t="s">
        <v>3</v>
      </c>
      <c r="F13" s="37" t="s">
        <v>120</v>
      </c>
      <c r="G13" s="37" t="s">
        <v>121</v>
      </c>
      <c r="H13" s="89" t="s">
        <v>122</v>
      </c>
    </row>
    <row r="14" spans="1:9" s="14" customFormat="1" ht="24" customHeight="1" x14ac:dyDescent="0.2">
      <c r="A14" s="47" t="s">
        <v>5</v>
      </c>
      <c r="B14" s="70"/>
      <c r="C14" s="215" t="s">
        <v>69</v>
      </c>
      <c r="D14" s="216"/>
      <c r="E14" s="216"/>
      <c r="F14" s="216"/>
      <c r="G14" s="217"/>
      <c r="H14" s="53">
        <f>SUM(H15:H15)</f>
        <v>11240.8</v>
      </c>
      <c r="I14" s="79">
        <f>H14</f>
        <v>11240.8</v>
      </c>
    </row>
    <row r="15" spans="1:9" s="14" customFormat="1" ht="24" customHeight="1" x14ac:dyDescent="0.2">
      <c r="A15" s="40" t="s">
        <v>74</v>
      </c>
      <c r="B15" s="42" t="s">
        <v>145</v>
      </c>
      <c r="C15" s="41" t="s">
        <v>69</v>
      </c>
      <c r="D15" s="42" t="s">
        <v>94</v>
      </c>
      <c r="E15" s="43">
        <v>1</v>
      </c>
      <c r="F15" s="50">
        <v>9196.44</v>
      </c>
      <c r="G15" s="51">
        <f>TRUNC(F15*($H$7+1),2)</f>
        <v>11240.8</v>
      </c>
      <c r="H15" s="52">
        <f>E15*G15</f>
        <v>11240.8</v>
      </c>
      <c r="I15" s="79">
        <f t="shared" ref="I15:I47" si="0">H15</f>
        <v>11240.8</v>
      </c>
    </row>
    <row r="16" spans="1:9" s="14" customFormat="1" ht="24" customHeight="1" x14ac:dyDescent="0.2">
      <c r="A16" s="48">
        <v>2</v>
      </c>
      <c r="B16" s="48"/>
      <c r="C16" s="209" t="s">
        <v>68</v>
      </c>
      <c r="D16" s="210"/>
      <c r="E16" s="210"/>
      <c r="F16" s="210"/>
      <c r="G16" s="211"/>
      <c r="H16" s="53">
        <f>SUM(H17:H20)</f>
        <v>11516.570400000001</v>
      </c>
      <c r="I16" s="79">
        <f t="shared" si="0"/>
        <v>11516.570400000001</v>
      </c>
    </row>
    <row r="17" spans="1:9" s="14" customFormat="1" ht="24" customHeight="1" x14ac:dyDescent="0.2">
      <c r="A17" s="41" t="s">
        <v>75</v>
      </c>
      <c r="B17" s="42" t="s">
        <v>163</v>
      </c>
      <c r="C17" s="41" t="s">
        <v>70</v>
      </c>
      <c r="D17" s="42" t="s">
        <v>7</v>
      </c>
      <c r="E17" s="44">
        <v>12.5</v>
      </c>
      <c r="F17" s="50">
        <v>331.18</v>
      </c>
      <c r="G17" s="51">
        <f t="shared" ref="G17:G20" si="1">TRUNC(F17*($H$7+1),2)</f>
        <v>404.8</v>
      </c>
      <c r="H17" s="52">
        <f t="shared" ref="H17:H18" si="2">E17*G17</f>
        <v>5060</v>
      </c>
      <c r="I17" s="79">
        <f t="shared" si="0"/>
        <v>5060</v>
      </c>
    </row>
    <row r="18" spans="1:9" s="14" customFormat="1" ht="24" customHeight="1" x14ac:dyDescent="0.2">
      <c r="A18" s="41" t="s">
        <v>76</v>
      </c>
      <c r="B18" s="42" t="s">
        <v>175</v>
      </c>
      <c r="C18" s="38" t="s">
        <v>71</v>
      </c>
      <c r="D18" s="42" t="s">
        <v>94</v>
      </c>
      <c r="E18" s="43">
        <v>1</v>
      </c>
      <c r="F18" s="50">
        <v>290</v>
      </c>
      <c r="G18" s="51">
        <f t="shared" si="1"/>
        <v>354.46</v>
      </c>
      <c r="H18" s="52">
        <f t="shared" si="2"/>
        <v>354.46</v>
      </c>
      <c r="I18" s="79">
        <f t="shared" si="0"/>
        <v>354.46</v>
      </c>
    </row>
    <row r="19" spans="1:9" s="14" customFormat="1" ht="25.5" x14ac:dyDescent="0.2">
      <c r="A19" s="41" t="s">
        <v>77</v>
      </c>
      <c r="B19" s="42">
        <v>98526</v>
      </c>
      <c r="C19" s="49" t="s">
        <v>177</v>
      </c>
      <c r="D19" s="42" t="s">
        <v>94</v>
      </c>
      <c r="E19" s="43">
        <v>11</v>
      </c>
      <c r="F19" s="50">
        <v>67.52</v>
      </c>
      <c r="G19" s="51">
        <f t="shared" si="1"/>
        <v>82.52</v>
      </c>
      <c r="H19" s="52">
        <f>E19*G19</f>
        <v>907.71999999999991</v>
      </c>
      <c r="I19" s="79">
        <f t="shared" si="0"/>
        <v>907.71999999999991</v>
      </c>
    </row>
    <row r="20" spans="1:9" s="14" customFormat="1" ht="25.5" customHeight="1" x14ac:dyDescent="0.2">
      <c r="A20" s="41" t="s">
        <v>274</v>
      </c>
      <c r="B20" s="42">
        <v>98459</v>
      </c>
      <c r="C20" s="49" t="s">
        <v>275</v>
      </c>
      <c r="D20" s="42" t="s">
        <v>7</v>
      </c>
      <c r="E20" s="43">
        <v>39.92</v>
      </c>
      <c r="F20" s="50">
        <v>106.46</v>
      </c>
      <c r="G20" s="51">
        <f t="shared" si="1"/>
        <v>130.12</v>
      </c>
      <c r="H20" s="52">
        <f>E20*G20</f>
        <v>5194.3904000000002</v>
      </c>
      <c r="I20" s="79"/>
    </row>
    <row r="21" spans="1:9" s="14" customFormat="1" ht="24" customHeight="1" x14ac:dyDescent="0.2">
      <c r="A21" s="48">
        <v>3</v>
      </c>
      <c r="B21" s="48"/>
      <c r="C21" s="209" t="s">
        <v>72</v>
      </c>
      <c r="D21" s="210"/>
      <c r="E21" s="210"/>
      <c r="F21" s="210"/>
      <c r="G21" s="211"/>
      <c r="H21" s="53">
        <f>SUM(H22)</f>
        <v>235.387</v>
      </c>
      <c r="I21" s="79">
        <f t="shared" si="0"/>
        <v>235.387</v>
      </c>
    </row>
    <row r="22" spans="1:9" s="14" customFormat="1" ht="25.5" x14ac:dyDescent="0.2">
      <c r="A22" s="41" t="s">
        <v>78</v>
      </c>
      <c r="B22" s="42">
        <v>96385</v>
      </c>
      <c r="C22" s="45" t="s">
        <v>178</v>
      </c>
      <c r="D22" s="42" t="s">
        <v>6</v>
      </c>
      <c r="E22" s="43">
        <v>20.05</v>
      </c>
      <c r="F22" s="50">
        <v>9.61</v>
      </c>
      <c r="G22" s="51">
        <f>TRUNC(F22*($H$7+1),2)</f>
        <v>11.74</v>
      </c>
      <c r="H22" s="52">
        <f>E22*G22</f>
        <v>235.387</v>
      </c>
      <c r="I22" s="79">
        <f t="shared" si="0"/>
        <v>235.387</v>
      </c>
    </row>
    <row r="23" spans="1:9" s="14" customFormat="1" ht="24" customHeight="1" x14ac:dyDescent="0.2">
      <c r="A23" s="48">
        <v>4</v>
      </c>
      <c r="B23" s="48"/>
      <c r="C23" s="209" t="s">
        <v>179</v>
      </c>
      <c r="D23" s="210"/>
      <c r="E23" s="210"/>
      <c r="F23" s="210"/>
      <c r="G23" s="211"/>
      <c r="H23" s="53">
        <f>SUM(H24:H29)</f>
        <v>9245.9731567500003</v>
      </c>
      <c r="I23" s="79">
        <f t="shared" si="0"/>
        <v>9245.9731567500003</v>
      </c>
    </row>
    <row r="24" spans="1:9" s="14" customFormat="1" ht="24" customHeight="1" x14ac:dyDescent="0.2">
      <c r="A24" s="41" t="s">
        <v>79</v>
      </c>
      <c r="B24" s="42">
        <v>96527</v>
      </c>
      <c r="C24" s="49" t="s">
        <v>180</v>
      </c>
      <c r="D24" s="42" t="s">
        <v>6</v>
      </c>
      <c r="E24" s="43">
        <f>0.0765*4.65</f>
        <v>0.35572500000000001</v>
      </c>
      <c r="F24" s="50">
        <v>106.42</v>
      </c>
      <c r="G24" s="51">
        <f t="shared" ref="G24:G28" si="3">TRUNC(F24*($H$7+1),2)</f>
        <v>130.07</v>
      </c>
      <c r="H24" s="52">
        <f>E24*G24</f>
        <v>46.269150750000001</v>
      </c>
      <c r="I24" s="79">
        <f t="shared" si="0"/>
        <v>46.269150750000001</v>
      </c>
    </row>
    <row r="25" spans="1:9" s="14" customFormat="1" ht="24" customHeight="1" x14ac:dyDescent="0.2">
      <c r="A25" s="41" t="s">
        <v>80</v>
      </c>
      <c r="B25" s="42">
        <v>96535</v>
      </c>
      <c r="C25" s="49" t="s">
        <v>181</v>
      </c>
      <c r="D25" s="42" t="s">
        <v>7</v>
      </c>
      <c r="E25" s="43">
        <f>1*4.65</f>
        <v>4.6500000000000004</v>
      </c>
      <c r="F25" s="50">
        <v>123.57</v>
      </c>
      <c r="G25" s="51">
        <f t="shared" si="3"/>
        <v>151.03</v>
      </c>
      <c r="H25" s="52">
        <f t="shared" ref="H25:H28" si="4">E25*G25</f>
        <v>702.28950000000009</v>
      </c>
      <c r="I25" s="79">
        <f t="shared" si="0"/>
        <v>702.28950000000009</v>
      </c>
    </row>
    <row r="26" spans="1:9" s="14" customFormat="1" ht="24" customHeight="1" x14ac:dyDescent="0.2">
      <c r="A26" s="41" t="s">
        <v>89</v>
      </c>
      <c r="B26" s="42" t="s">
        <v>253</v>
      </c>
      <c r="C26" s="49" t="s">
        <v>102</v>
      </c>
      <c r="D26" s="42" t="s">
        <v>6</v>
      </c>
      <c r="E26" s="43">
        <v>0.36</v>
      </c>
      <c r="F26" s="50">
        <v>605.84</v>
      </c>
      <c r="G26" s="51">
        <f t="shared" si="3"/>
        <v>740.51</v>
      </c>
      <c r="H26" s="52">
        <f t="shared" si="4"/>
        <v>266.58359999999999</v>
      </c>
      <c r="I26" s="79">
        <f t="shared" si="0"/>
        <v>266.58359999999999</v>
      </c>
    </row>
    <row r="27" spans="1:9" s="14" customFormat="1" ht="24" customHeight="1" x14ac:dyDescent="0.2">
      <c r="A27" s="41" t="s">
        <v>95</v>
      </c>
      <c r="B27" s="42">
        <v>96543</v>
      </c>
      <c r="C27" s="49" t="s">
        <v>100</v>
      </c>
      <c r="D27" s="42" t="s">
        <v>101</v>
      </c>
      <c r="E27" s="43">
        <f>15*0.73*0.154</f>
        <v>1.6862999999999999</v>
      </c>
      <c r="F27" s="50">
        <v>18.89</v>
      </c>
      <c r="G27" s="51">
        <f t="shared" si="3"/>
        <v>23.08</v>
      </c>
      <c r="H27" s="52">
        <f t="shared" si="4"/>
        <v>38.919803999999992</v>
      </c>
      <c r="I27" s="79">
        <f t="shared" si="0"/>
        <v>38.919803999999992</v>
      </c>
    </row>
    <row r="28" spans="1:9" s="14" customFormat="1" ht="24" customHeight="1" x14ac:dyDescent="0.2">
      <c r="A28" s="41" t="s">
        <v>96</v>
      </c>
      <c r="B28" s="42">
        <v>96546</v>
      </c>
      <c r="C28" s="49" t="s">
        <v>103</v>
      </c>
      <c r="D28" s="42" t="s">
        <v>101</v>
      </c>
      <c r="E28" s="43">
        <f>(4.65*4)*0.617</f>
        <v>11.4762</v>
      </c>
      <c r="F28" s="50">
        <v>15.01</v>
      </c>
      <c r="G28" s="51">
        <f t="shared" si="3"/>
        <v>18.34</v>
      </c>
      <c r="H28" s="52">
        <f t="shared" si="4"/>
        <v>210.47350800000001</v>
      </c>
      <c r="I28" s="79"/>
    </row>
    <row r="29" spans="1:9" s="14" customFormat="1" ht="24" customHeight="1" x14ac:dyDescent="0.2">
      <c r="A29" s="41" t="s">
        <v>228</v>
      </c>
      <c r="B29" s="42" t="s">
        <v>254</v>
      </c>
      <c r="C29" s="49" t="s">
        <v>184</v>
      </c>
      <c r="D29" s="42" t="s">
        <v>7</v>
      </c>
      <c r="E29" s="43">
        <f>11.31*1.42</f>
        <v>16.060199999999998</v>
      </c>
      <c r="F29" s="50">
        <v>406.59</v>
      </c>
      <c r="G29" s="51">
        <f>TRUNC(F29*($H$7+1),2)</f>
        <v>496.97</v>
      </c>
      <c r="H29" s="52">
        <f t="shared" ref="H29" si="5">E29*G29</f>
        <v>7981.437594</v>
      </c>
      <c r="I29" s="79"/>
    </row>
    <row r="30" spans="1:9" s="14" customFormat="1" ht="24" customHeight="1" x14ac:dyDescent="0.2">
      <c r="A30" s="48" t="s">
        <v>229</v>
      </c>
      <c r="B30" s="48"/>
      <c r="C30" s="209" t="s">
        <v>227</v>
      </c>
      <c r="D30" s="210"/>
      <c r="E30" s="210"/>
      <c r="F30" s="210"/>
      <c r="G30" s="211"/>
      <c r="H30" s="53">
        <f>SUM(H31:H35)</f>
        <v>6378.323699999999</v>
      </c>
      <c r="I30" s="79"/>
    </row>
    <row r="31" spans="1:9" s="14" customFormat="1" ht="24" customHeight="1" x14ac:dyDescent="0.2">
      <c r="A31" s="41" t="s">
        <v>230</v>
      </c>
      <c r="B31" s="42">
        <v>99235</v>
      </c>
      <c r="C31" s="49" t="s">
        <v>256</v>
      </c>
      <c r="D31" s="42" t="s">
        <v>6</v>
      </c>
      <c r="E31" s="43">
        <v>3.5</v>
      </c>
      <c r="F31" s="50">
        <v>713.35</v>
      </c>
      <c r="G31" s="51">
        <f>TRUNC(F31*($H$7+1),2)</f>
        <v>871.92</v>
      </c>
      <c r="H31" s="52">
        <f>E31*G31</f>
        <v>3051.72</v>
      </c>
      <c r="I31" s="79">
        <f>H28</f>
        <v>210.47350800000001</v>
      </c>
    </row>
    <row r="32" spans="1:9" s="14" customFormat="1" ht="24" customHeight="1" x14ac:dyDescent="0.2">
      <c r="A32" s="41" t="s">
        <v>231</v>
      </c>
      <c r="B32" s="42">
        <v>97090</v>
      </c>
      <c r="C32" s="49" t="s">
        <v>257</v>
      </c>
      <c r="D32" s="42" t="s">
        <v>101</v>
      </c>
      <c r="E32" s="43">
        <v>77</v>
      </c>
      <c r="F32" s="50">
        <v>22.9</v>
      </c>
      <c r="G32" s="51">
        <f>TRUNC(F32*($H$7+1),2)</f>
        <v>27.99</v>
      </c>
      <c r="H32" s="52">
        <f>E32*G32</f>
        <v>2155.23</v>
      </c>
      <c r="I32" s="79"/>
    </row>
    <row r="33" spans="1:9" s="14" customFormat="1" ht="24" customHeight="1" x14ac:dyDescent="0.2">
      <c r="A33" s="41" t="s">
        <v>232</v>
      </c>
      <c r="B33" s="42">
        <v>9622</v>
      </c>
      <c r="C33" s="90" t="s">
        <v>236</v>
      </c>
      <c r="D33" s="42" t="s">
        <v>6</v>
      </c>
      <c r="E33" s="43">
        <v>1.75</v>
      </c>
      <c r="F33" s="50">
        <v>130.53</v>
      </c>
      <c r="G33" s="51">
        <f t="shared" ref="G33:G35" si="6">TRUNC(F33*($H$7+1),2)</f>
        <v>159.54</v>
      </c>
      <c r="H33" s="52">
        <f t="shared" ref="H33:H35" si="7">E33*G33</f>
        <v>279.19499999999999</v>
      </c>
      <c r="I33" s="79"/>
    </row>
    <row r="34" spans="1:9" s="14" customFormat="1" ht="24" customHeight="1" x14ac:dyDescent="0.2">
      <c r="A34" s="41" t="s">
        <v>233</v>
      </c>
      <c r="B34" s="42">
        <v>97086</v>
      </c>
      <c r="C34" s="90" t="s">
        <v>237</v>
      </c>
      <c r="D34" s="42" t="s">
        <v>7</v>
      </c>
      <c r="E34" s="43">
        <v>4.9800000000000004</v>
      </c>
      <c r="F34" s="50">
        <v>108.36</v>
      </c>
      <c r="G34" s="51">
        <f t="shared" si="6"/>
        <v>132.44</v>
      </c>
      <c r="H34" s="52">
        <f t="shared" si="7"/>
        <v>659.55119999999999</v>
      </c>
      <c r="I34" s="79"/>
    </row>
    <row r="35" spans="1:9" s="14" customFormat="1" ht="24" customHeight="1" x14ac:dyDescent="0.2">
      <c r="A35" s="41" t="s">
        <v>255</v>
      </c>
      <c r="B35" s="42" t="s">
        <v>234</v>
      </c>
      <c r="C35" s="90" t="s">
        <v>235</v>
      </c>
      <c r="D35" s="42" t="s">
        <v>7</v>
      </c>
      <c r="E35" s="43">
        <v>36.75</v>
      </c>
      <c r="F35" s="50">
        <v>5.18</v>
      </c>
      <c r="G35" s="51">
        <f t="shared" si="6"/>
        <v>6.33</v>
      </c>
      <c r="H35" s="52">
        <f t="shared" si="7"/>
        <v>232.6275</v>
      </c>
      <c r="I35" s="79"/>
    </row>
    <row r="36" spans="1:9" s="14" customFormat="1" ht="24" customHeight="1" x14ac:dyDescent="0.2">
      <c r="A36" s="48">
        <v>5</v>
      </c>
      <c r="B36" s="48"/>
      <c r="C36" s="209" t="s">
        <v>104</v>
      </c>
      <c r="D36" s="210"/>
      <c r="E36" s="210"/>
      <c r="F36" s="210"/>
      <c r="G36" s="211"/>
      <c r="H36" s="53">
        <f>SUM(H37:H43)</f>
        <v>14489.936918199999</v>
      </c>
      <c r="I36" s="79">
        <f t="shared" si="0"/>
        <v>14489.936918199999</v>
      </c>
    </row>
    <row r="37" spans="1:9" s="14" customFormat="1" ht="38.25" x14ac:dyDescent="0.2">
      <c r="A37" s="41" t="s">
        <v>98</v>
      </c>
      <c r="B37" s="42">
        <v>92409</v>
      </c>
      <c r="C37" s="49" t="s">
        <v>126</v>
      </c>
      <c r="D37" s="42" t="s">
        <v>7</v>
      </c>
      <c r="E37" s="43">
        <f>(0.82*2.5*6)+15.07</f>
        <v>27.369999999999997</v>
      </c>
      <c r="F37" s="50">
        <v>270.05</v>
      </c>
      <c r="G37" s="51">
        <f t="shared" ref="G37:G43" si="8">TRUNC(F37*($H$7+1),2)</f>
        <v>330.08</v>
      </c>
      <c r="H37" s="52">
        <f t="shared" ref="H37:H43" si="9">E37*G37</f>
        <v>9034.2895999999982</v>
      </c>
      <c r="I37" s="79">
        <f t="shared" si="0"/>
        <v>9034.2895999999982</v>
      </c>
    </row>
    <row r="38" spans="1:9" s="14" customFormat="1" ht="38.25" x14ac:dyDescent="0.2">
      <c r="A38" s="41" t="s">
        <v>242</v>
      </c>
      <c r="B38" s="42">
        <v>92762</v>
      </c>
      <c r="C38" s="49" t="s">
        <v>127</v>
      </c>
      <c r="D38" s="42" t="s">
        <v>101</v>
      </c>
      <c r="E38" s="43">
        <f>(116.4+85.56)*0.617</f>
        <v>124.60932</v>
      </c>
      <c r="F38" s="50">
        <v>13.85</v>
      </c>
      <c r="G38" s="51">
        <f t="shared" si="8"/>
        <v>16.920000000000002</v>
      </c>
      <c r="H38" s="52">
        <f t="shared" si="9"/>
        <v>2108.3896944000003</v>
      </c>
      <c r="I38" s="79">
        <f t="shared" si="0"/>
        <v>2108.3896944000003</v>
      </c>
    </row>
    <row r="39" spans="1:9" s="14" customFormat="1" ht="38.25" x14ac:dyDescent="0.2">
      <c r="A39" s="41" t="s">
        <v>243</v>
      </c>
      <c r="B39" s="42">
        <v>92759</v>
      </c>
      <c r="C39" s="49" t="s">
        <v>128</v>
      </c>
      <c r="D39" s="42" t="s">
        <v>101</v>
      </c>
      <c r="E39" s="43">
        <f>0.154*(117.53+51.83)</f>
        <v>26.081440000000001</v>
      </c>
      <c r="F39" s="50">
        <v>16.38</v>
      </c>
      <c r="G39" s="51">
        <f t="shared" ref="G39:G41" si="10">TRUNC(F39*($H$7+1),2)</f>
        <v>20.02</v>
      </c>
      <c r="H39" s="52">
        <f t="shared" ref="H39:H41" si="11">E39*G39</f>
        <v>522.15042879999999</v>
      </c>
      <c r="I39" s="79"/>
    </row>
    <row r="40" spans="1:9" s="14" customFormat="1" ht="25.5" x14ac:dyDescent="0.2">
      <c r="A40" s="41" t="s">
        <v>244</v>
      </c>
      <c r="B40" s="42">
        <v>103669</v>
      </c>
      <c r="C40" s="49" t="s">
        <v>107</v>
      </c>
      <c r="D40" s="42" t="s">
        <v>6</v>
      </c>
      <c r="E40" s="43">
        <f>(0.039*2.5*6)+0.1209</f>
        <v>0.70589999999999997</v>
      </c>
      <c r="F40" s="50">
        <v>989.37</v>
      </c>
      <c r="G40" s="51">
        <f t="shared" si="10"/>
        <v>1209.3</v>
      </c>
      <c r="H40" s="52">
        <f t="shared" si="11"/>
        <v>853.64486999999997</v>
      </c>
      <c r="I40" s="79"/>
    </row>
    <row r="41" spans="1:9" s="14" customFormat="1" ht="38.25" x14ac:dyDescent="0.2">
      <c r="A41" s="41" t="s">
        <v>245</v>
      </c>
      <c r="B41" s="42">
        <v>103682</v>
      </c>
      <c r="C41" s="49" t="s">
        <v>105</v>
      </c>
      <c r="D41" s="42" t="s">
        <v>6</v>
      </c>
      <c r="E41" s="43">
        <f>0.039*(12+10.5)</f>
        <v>0.87749999999999995</v>
      </c>
      <c r="F41" s="50">
        <v>1003.83</v>
      </c>
      <c r="G41" s="51">
        <f t="shared" si="10"/>
        <v>1226.98</v>
      </c>
      <c r="H41" s="52">
        <f t="shared" si="11"/>
        <v>1076.6749499999999</v>
      </c>
      <c r="I41" s="79"/>
    </row>
    <row r="42" spans="1:9" s="14" customFormat="1" ht="25.5" x14ac:dyDescent="0.2">
      <c r="A42" s="41" t="s">
        <v>246</v>
      </c>
      <c r="B42" s="42">
        <v>94990</v>
      </c>
      <c r="C42" s="49" t="s">
        <v>195</v>
      </c>
      <c r="D42" s="42" t="s">
        <v>6</v>
      </c>
      <c r="E42" s="43">
        <v>0.88</v>
      </c>
      <c r="F42" s="50">
        <v>713.33</v>
      </c>
      <c r="G42" s="51">
        <f t="shared" si="8"/>
        <v>871.9</v>
      </c>
      <c r="H42" s="52">
        <f t="shared" si="9"/>
        <v>767.27199999999993</v>
      </c>
      <c r="I42" s="79">
        <f t="shared" si="0"/>
        <v>767.27199999999993</v>
      </c>
    </row>
    <row r="43" spans="1:9" s="14" customFormat="1" ht="20.25" customHeight="1" x14ac:dyDescent="0.2">
      <c r="A43" s="41" t="s">
        <v>247</v>
      </c>
      <c r="B43" s="42">
        <v>94990</v>
      </c>
      <c r="C43" s="49" t="s">
        <v>185</v>
      </c>
      <c r="D43" s="42" t="s">
        <v>6</v>
      </c>
      <c r="E43" s="43">
        <v>0.14624999999999999</v>
      </c>
      <c r="F43" s="50">
        <v>713.33</v>
      </c>
      <c r="G43" s="51">
        <f t="shared" si="8"/>
        <v>871.9</v>
      </c>
      <c r="H43" s="52">
        <f t="shared" si="9"/>
        <v>127.51537499999999</v>
      </c>
      <c r="I43" s="79">
        <f t="shared" si="0"/>
        <v>127.51537499999999</v>
      </c>
    </row>
    <row r="44" spans="1:9" s="14" customFormat="1" ht="24" customHeight="1" x14ac:dyDescent="0.2">
      <c r="A44" s="48">
        <v>6</v>
      </c>
      <c r="B44" s="48"/>
      <c r="C44" s="209" t="s">
        <v>73</v>
      </c>
      <c r="D44" s="210"/>
      <c r="E44" s="210"/>
      <c r="F44" s="210"/>
      <c r="G44" s="211"/>
      <c r="H44" s="53">
        <f>SUM(H45:H55)</f>
        <v>8183.5388400000002</v>
      </c>
      <c r="I44" s="79">
        <f t="shared" si="0"/>
        <v>8183.5388400000002</v>
      </c>
    </row>
    <row r="45" spans="1:9" s="14" customFormat="1" ht="24" customHeight="1" x14ac:dyDescent="0.2">
      <c r="A45" s="41" t="s">
        <v>81</v>
      </c>
      <c r="B45" s="42">
        <v>89709</v>
      </c>
      <c r="C45" s="41" t="s">
        <v>131</v>
      </c>
      <c r="D45" s="42" t="s">
        <v>94</v>
      </c>
      <c r="E45" s="43">
        <v>2</v>
      </c>
      <c r="F45" s="50">
        <v>14.32</v>
      </c>
      <c r="G45" s="51">
        <f t="shared" ref="G45:G52" si="12">TRUNC(F45*($H$7+1),2)</f>
        <v>17.5</v>
      </c>
      <c r="H45" s="52">
        <f t="shared" ref="H45" si="13">E45*G45</f>
        <v>35</v>
      </c>
      <c r="I45" s="79">
        <f>H45</f>
        <v>35</v>
      </c>
    </row>
    <row r="46" spans="1:9" s="14" customFormat="1" ht="24" customHeight="1" x14ac:dyDescent="0.2">
      <c r="A46" s="41" t="s">
        <v>99</v>
      </c>
      <c r="B46" s="42">
        <v>86914</v>
      </c>
      <c r="C46" s="45" t="s">
        <v>194</v>
      </c>
      <c r="D46" s="42" t="s">
        <v>94</v>
      </c>
      <c r="E46" s="43">
        <v>1</v>
      </c>
      <c r="F46" s="50">
        <v>85.89</v>
      </c>
      <c r="G46" s="51">
        <f t="shared" si="12"/>
        <v>104.98</v>
      </c>
      <c r="H46" s="52">
        <f t="shared" ref="H46:H52" si="14">E46*G46</f>
        <v>104.98</v>
      </c>
      <c r="I46" s="79">
        <f t="shared" si="0"/>
        <v>104.98</v>
      </c>
    </row>
    <row r="47" spans="1:9" s="14" customFormat="1" ht="24" customHeight="1" x14ac:dyDescent="0.2">
      <c r="A47" s="41" t="s">
        <v>238</v>
      </c>
      <c r="B47" s="42">
        <v>94499</v>
      </c>
      <c r="C47" s="45" t="s">
        <v>132</v>
      </c>
      <c r="D47" s="42" t="s">
        <v>94</v>
      </c>
      <c r="E47" s="43">
        <v>1</v>
      </c>
      <c r="F47" s="50">
        <v>233.73</v>
      </c>
      <c r="G47" s="51">
        <f t="shared" ref="G47" si="15">TRUNC(F47*($H$7+1),2)</f>
        <v>285.68</v>
      </c>
      <c r="H47" s="52">
        <f t="shared" ref="H47" si="16">E47*G47</f>
        <v>285.68</v>
      </c>
      <c r="I47" s="79">
        <f t="shared" si="0"/>
        <v>285.68</v>
      </c>
    </row>
    <row r="48" spans="1:9" s="14" customFormat="1" ht="24" customHeight="1" x14ac:dyDescent="0.2">
      <c r="A48" s="41" t="s">
        <v>239</v>
      </c>
      <c r="B48" s="42">
        <v>89356</v>
      </c>
      <c r="C48" s="45" t="s">
        <v>129</v>
      </c>
      <c r="D48" s="42" t="s">
        <v>91</v>
      </c>
      <c r="E48" s="43">
        <v>8</v>
      </c>
      <c r="F48" s="50">
        <v>19.54</v>
      </c>
      <c r="G48" s="51">
        <f t="shared" si="12"/>
        <v>23.88</v>
      </c>
      <c r="H48" s="52">
        <f t="shared" si="14"/>
        <v>191.04</v>
      </c>
      <c r="I48" s="79">
        <f t="shared" ref="I48:I76" si="17">H48</f>
        <v>191.04</v>
      </c>
    </row>
    <row r="49" spans="1:9" s="14" customFormat="1" ht="24" customHeight="1" x14ac:dyDescent="0.2">
      <c r="A49" s="41" t="s">
        <v>240</v>
      </c>
      <c r="B49" s="42">
        <v>89809</v>
      </c>
      <c r="C49" s="45" t="s">
        <v>258</v>
      </c>
      <c r="D49" s="42" t="s">
        <v>94</v>
      </c>
      <c r="E49" s="43">
        <v>5</v>
      </c>
      <c r="F49" s="50">
        <v>21.51</v>
      </c>
      <c r="G49" s="51">
        <f t="shared" si="12"/>
        <v>26.29</v>
      </c>
      <c r="H49" s="52">
        <f t="shared" si="14"/>
        <v>131.44999999999999</v>
      </c>
      <c r="I49" s="79">
        <f t="shared" si="17"/>
        <v>131.44999999999999</v>
      </c>
    </row>
    <row r="50" spans="1:9" s="14" customFormat="1" ht="24" customHeight="1" x14ac:dyDescent="0.2">
      <c r="A50" s="41" t="s">
        <v>261</v>
      </c>
      <c r="B50" s="91">
        <v>89714</v>
      </c>
      <c r="C50" s="39" t="s">
        <v>130</v>
      </c>
      <c r="D50" s="91" t="s">
        <v>91</v>
      </c>
      <c r="E50" s="92">
        <v>13.2</v>
      </c>
      <c r="F50" s="52">
        <v>57.72</v>
      </c>
      <c r="G50" s="93">
        <f t="shared" si="12"/>
        <v>70.55</v>
      </c>
      <c r="H50" s="52">
        <f t="shared" si="14"/>
        <v>931.25999999999988</v>
      </c>
      <c r="I50" s="79">
        <f t="shared" si="17"/>
        <v>931.25999999999988</v>
      </c>
    </row>
    <row r="51" spans="1:9" s="14" customFormat="1" ht="24" customHeight="1" x14ac:dyDescent="0.2">
      <c r="A51" s="41" t="s">
        <v>262</v>
      </c>
      <c r="B51" s="91">
        <v>89744</v>
      </c>
      <c r="C51" s="39" t="s">
        <v>259</v>
      </c>
      <c r="D51" s="91" t="s">
        <v>94</v>
      </c>
      <c r="E51" s="92">
        <v>3</v>
      </c>
      <c r="F51" s="52">
        <v>43.84</v>
      </c>
      <c r="G51" s="93">
        <f t="shared" si="12"/>
        <v>53.58</v>
      </c>
      <c r="H51" s="52">
        <f t="shared" si="14"/>
        <v>160.74</v>
      </c>
      <c r="I51" s="79">
        <f t="shared" si="17"/>
        <v>160.74</v>
      </c>
    </row>
    <row r="52" spans="1:9" s="14" customFormat="1" ht="24" customHeight="1" x14ac:dyDescent="0.2">
      <c r="A52" s="41" t="s">
        <v>263</v>
      </c>
      <c r="B52" s="91">
        <v>89796</v>
      </c>
      <c r="C52" s="39" t="s">
        <v>260</v>
      </c>
      <c r="D52" s="91" t="s">
        <v>94</v>
      </c>
      <c r="E52" s="92">
        <v>1</v>
      </c>
      <c r="F52" s="52">
        <v>45.89</v>
      </c>
      <c r="G52" s="93">
        <f t="shared" si="12"/>
        <v>56.09</v>
      </c>
      <c r="H52" s="52">
        <f t="shared" si="14"/>
        <v>56.09</v>
      </c>
      <c r="I52" s="79">
        <f t="shared" si="17"/>
        <v>56.09</v>
      </c>
    </row>
    <row r="53" spans="1:9" s="14" customFormat="1" ht="24" customHeight="1" x14ac:dyDescent="0.2">
      <c r="A53" s="41" t="s">
        <v>265</v>
      </c>
      <c r="B53" s="42">
        <v>9622</v>
      </c>
      <c r="C53" s="90" t="s">
        <v>236</v>
      </c>
      <c r="D53" s="42" t="s">
        <v>6</v>
      </c>
      <c r="E53" s="43">
        <v>4.5999999999999999E-2</v>
      </c>
      <c r="F53" s="50">
        <v>130.53</v>
      </c>
      <c r="G53" s="51">
        <f>TRUNC(F53*($H$7+1),2)</f>
        <v>159.54</v>
      </c>
      <c r="H53" s="52">
        <f>E53*G53</f>
        <v>7.3388399999999994</v>
      </c>
      <c r="I53" s="79"/>
    </row>
    <row r="54" spans="1:9" s="14" customFormat="1" ht="24" customHeight="1" x14ac:dyDescent="0.2">
      <c r="A54" s="41" t="s">
        <v>267</v>
      </c>
      <c r="B54" s="91" t="s">
        <v>264</v>
      </c>
      <c r="C54" s="39" t="s">
        <v>266</v>
      </c>
      <c r="D54" s="91" t="s">
        <v>94</v>
      </c>
      <c r="E54" s="92">
        <v>1</v>
      </c>
      <c r="F54" s="52">
        <v>2280</v>
      </c>
      <c r="G54" s="51">
        <f>TRUNC(F54*($H$7+1),2)</f>
        <v>2786.84</v>
      </c>
      <c r="H54" s="52">
        <f>E54*G54</f>
        <v>2786.84</v>
      </c>
      <c r="I54" s="79"/>
    </row>
    <row r="55" spans="1:9" s="14" customFormat="1" ht="24" customHeight="1" x14ac:dyDescent="0.2">
      <c r="A55" s="41" t="s">
        <v>268</v>
      </c>
      <c r="B55" s="91">
        <v>98062</v>
      </c>
      <c r="C55" s="39" t="s">
        <v>269</v>
      </c>
      <c r="D55" s="91" t="s">
        <v>94</v>
      </c>
      <c r="E55" s="92">
        <v>1</v>
      </c>
      <c r="F55" s="52">
        <v>2857.83</v>
      </c>
      <c r="G55" s="51">
        <f>TRUNC(F55*($H$7+1),2)</f>
        <v>3493.12</v>
      </c>
      <c r="H55" s="52">
        <f>E55*G55</f>
        <v>3493.12</v>
      </c>
      <c r="I55" s="79"/>
    </row>
    <row r="56" spans="1:9" s="14" customFormat="1" ht="24" customHeight="1" x14ac:dyDescent="0.2">
      <c r="A56" s="48">
        <v>7</v>
      </c>
      <c r="B56" s="48"/>
      <c r="C56" s="209" t="s">
        <v>10</v>
      </c>
      <c r="D56" s="210"/>
      <c r="E56" s="210"/>
      <c r="F56" s="210"/>
      <c r="G56" s="211"/>
      <c r="H56" s="53">
        <f>SUM(H57)</f>
        <v>4569.8100000000004</v>
      </c>
      <c r="I56" s="79">
        <f t="shared" si="17"/>
        <v>4569.8100000000004</v>
      </c>
    </row>
    <row r="57" spans="1:9" s="14" customFormat="1" ht="30.75" customHeight="1" x14ac:dyDescent="0.2">
      <c r="A57" s="41" t="s">
        <v>83</v>
      </c>
      <c r="B57" s="42">
        <v>87498</v>
      </c>
      <c r="C57" s="82" t="s">
        <v>182</v>
      </c>
      <c r="D57" s="42" t="s">
        <v>7</v>
      </c>
      <c r="E57" s="42">
        <v>47</v>
      </c>
      <c r="F57" s="50">
        <v>79.55</v>
      </c>
      <c r="G57" s="51">
        <f t="shared" ref="G57" si="18">TRUNC(F57*($H$7+1),2)</f>
        <v>97.23</v>
      </c>
      <c r="H57" s="52">
        <f t="shared" ref="H57" si="19">E57*G57</f>
        <v>4569.8100000000004</v>
      </c>
      <c r="I57" s="79">
        <f t="shared" si="17"/>
        <v>4569.8100000000004</v>
      </c>
    </row>
    <row r="58" spans="1:9" s="14" customFormat="1" ht="24" customHeight="1" x14ac:dyDescent="0.2">
      <c r="A58" s="48">
        <v>8</v>
      </c>
      <c r="B58" s="48"/>
      <c r="C58" s="209" t="s">
        <v>82</v>
      </c>
      <c r="D58" s="210"/>
      <c r="E58" s="210"/>
      <c r="F58" s="210"/>
      <c r="G58" s="211"/>
      <c r="H58" s="53">
        <f>SUM(H59:H61)</f>
        <v>12963.4748</v>
      </c>
      <c r="I58" s="79">
        <f t="shared" si="17"/>
        <v>12963.4748</v>
      </c>
    </row>
    <row r="59" spans="1:9" s="14" customFormat="1" ht="38.25" x14ac:dyDescent="0.2">
      <c r="A59" s="40" t="s">
        <v>84</v>
      </c>
      <c r="B59" s="42">
        <v>87905</v>
      </c>
      <c r="C59" s="45" t="s">
        <v>272</v>
      </c>
      <c r="D59" s="42" t="s">
        <v>7</v>
      </c>
      <c r="E59" s="42">
        <v>130.13999999999999</v>
      </c>
      <c r="F59" s="50">
        <v>10.199999999999999</v>
      </c>
      <c r="G59" s="51">
        <f>TRUNC(F59*($H$7+1),2)</f>
        <v>12.46</v>
      </c>
      <c r="H59" s="52">
        <f>E59*G59</f>
        <v>1621.5444</v>
      </c>
      <c r="I59" s="79">
        <f t="shared" si="17"/>
        <v>1621.5444</v>
      </c>
    </row>
    <row r="60" spans="1:9" s="14" customFormat="1" ht="38.25" x14ac:dyDescent="0.2">
      <c r="A60" s="40" t="s">
        <v>85</v>
      </c>
      <c r="B60" s="42">
        <v>87775</v>
      </c>
      <c r="C60" s="45" t="s">
        <v>273</v>
      </c>
      <c r="D60" s="42" t="s">
        <v>7</v>
      </c>
      <c r="E60" s="42">
        <v>130.13999999999999</v>
      </c>
      <c r="F60" s="50">
        <v>38.75</v>
      </c>
      <c r="G60" s="51">
        <f>TRUNC(F60*($H$7+1),2)</f>
        <v>47.36</v>
      </c>
      <c r="H60" s="52">
        <f>E60*G60</f>
        <v>6163.4303999999993</v>
      </c>
      <c r="I60" s="79">
        <f t="shared" si="17"/>
        <v>6163.4303999999993</v>
      </c>
    </row>
    <row r="61" spans="1:9" s="14" customFormat="1" ht="25.5" x14ac:dyDescent="0.2">
      <c r="A61" s="40" t="s">
        <v>248</v>
      </c>
      <c r="B61" s="42">
        <v>87257</v>
      </c>
      <c r="C61" s="45" t="s">
        <v>183</v>
      </c>
      <c r="D61" s="42" t="s">
        <v>7</v>
      </c>
      <c r="E61" s="42">
        <v>50</v>
      </c>
      <c r="F61" s="50">
        <v>84.74</v>
      </c>
      <c r="G61" s="51">
        <f>TRUNC(F61*($H$7+1),2)</f>
        <v>103.57</v>
      </c>
      <c r="H61" s="52">
        <f>E61*G61</f>
        <v>5178.5</v>
      </c>
      <c r="I61" s="79">
        <f t="shared" si="17"/>
        <v>5178.5</v>
      </c>
    </row>
    <row r="62" spans="1:9" s="14" customFormat="1" ht="24" customHeight="1" x14ac:dyDescent="0.2">
      <c r="A62" s="48">
        <v>9</v>
      </c>
      <c r="B62" s="48"/>
      <c r="C62" s="209" t="s">
        <v>67</v>
      </c>
      <c r="D62" s="210"/>
      <c r="E62" s="210"/>
      <c r="F62" s="210"/>
      <c r="G62" s="211"/>
      <c r="H62" s="53">
        <f>SUM(H63:H63)</f>
        <v>7692.2748000000001</v>
      </c>
      <c r="I62" s="79">
        <f t="shared" si="17"/>
        <v>7692.2748000000001</v>
      </c>
    </row>
    <row r="63" spans="1:9" s="14" customFormat="1" ht="24" customHeight="1" x14ac:dyDescent="0.2">
      <c r="A63" s="40" t="s">
        <v>86</v>
      </c>
      <c r="B63" s="42">
        <v>91341</v>
      </c>
      <c r="C63" s="45" t="s">
        <v>133</v>
      </c>
      <c r="D63" s="42" t="s">
        <v>7</v>
      </c>
      <c r="E63" s="44">
        <f>(2*0.7*2.1)+(4*0.7*2.1)</f>
        <v>8.82</v>
      </c>
      <c r="F63" s="50">
        <v>713.53</v>
      </c>
      <c r="G63" s="51">
        <f>TRUNC(F63*($H$7+1),2)</f>
        <v>872.14</v>
      </c>
      <c r="H63" s="52">
        <f>E63*G63</f>
        <v>7692.2748000000001</v>
      </c>
      <c r="I63" s="79">
        <f t="shared" si="17"/>
        <v>7692.2748000000001</v>
      </c>
    </row>
    <row r="64" spans="1:9" s="14" customFormat="1" ht="24" customHeight="1" x14ac:dyDescent="0.2">
      <c r="A64" s="48">
        <v>10</v>
      </c>
      <c r="B64" s="48"/>
      <c r="C64" s="209" t="s">
        <v>9</v>
      </c>
      <c r="D64" s="210"/>
      <c r="E64" s="210"/>
      <c r="F64" s="210"/>
      <c r="G64" s="211"/>
      <c r="H64" s="53">
        <f>SUM(H65:H67)</f>
        <v>4451.2671</v>
      </c>
      <c r="I64" s="79">
        <f t="shared" si="17"/>
        <v>4451.2671</v>
      </c>
    </row>
    <row r="65" spans="1:9" s="14" customFormat="1" ht="38.25" x14ac:dyDescent="0.2">
      <c r="A65" s="41" t="s">
        <v>87</v>
      </c>
      <c r="B65" s="42">
        <v>94210</v>
      </c>
      <c r="C65" s="45" t="s">
        <v>186</v>
      </c>
      <c r="D65" s="42" t="s">
        <v>7</v>
      </c>
      <c r="E65" s="44">
        <v>27.69</v>
      </c>
      <c r="F65" s="50">
        <v>47.38</v>
      </c>
      <c r="G65" s="51">
        <f>TRUNC(F65*($H$7+1),2)</f>
        <v>57.91</v>
      </c>
      <c r="H65" s="52">
        <f>E65*G65</f>
        <v>1603.5279</v>
      </c>
      <c r="I65" s="79">
        <f t="shared" si="17"/>
        <v>1603.5279</v>
      </c>
    </row>
    <row r="66" spans="1:9" s="14" customFormat="1" ht="38.25" x14ac:dyDescent="0.2">
      <c r="A66" s="41" t="s">
        <v>88</v>
      </c>
      <c r="B66" s="42">
        <v>92580</v>
      </c>
      <c r="C66" s="45" t="s">
        <v>187</v>
      </c>
      <c r="D66" s="42" t="s">
        <v>7</v>
      </c>
      <c r="E66" s="44">
        <v>27.69</v>
      </c>
      <c r="F66" s="50">
        <v>54.97</v>
      </c>
      <c r="G66" s="51">
        <f>TRUNC(F66*($H$7+1),2)</f>
        <v>67.180000000000007</v>
      </c>
      <c r="H66" s="52">
        <f>E66*G66</f>
        <v>1860.2142000000003</v>
      </c>
      <c r="I66" s="79">
        <f t="shared" si="17"/>
        <v>1860.2142000000003</v>
      </c>
    </row>
    <row r="67" spans="1:9" s="14" customFormat="1" ht="24" customHeight="1" x14ac:dyDescent="0.2">
      <c r="A67" s="41" t="s">
        <v>241</v>
      </c>
      <c r="B67" s="42">
        <v>94231</v>
      </c>
      <c r="C67" s="80" t="s">
        <v>188</v>
      </c>
      <c r="D67" s="42" t="s">
        <v>91</v>
      </c>
      <c r="E67" s="44">
        <v>13.75</v>
      </c>
      <c r="F67" s="50">
        <v>58.76</v>
      </c>
      <c r="G67" s="51">
        <f>TRUNC(F67*($H$7+1),2)</f>
        <v>71.819999999999993</v>
      </c>
      <c r="H67" s="52">
        <f>E67*G67</f>
        <v>987.52499999999986</v>
      </c>
      <c r="I67" s="79">
        <f t="shared" si="17"/>
        <v>987.52499999999986</v>
      </c>
    </row>
    <row r="68" spans="1:9" s="14" customFormat="1" ht="24" customHeight="1" x14ac:dyDescent="0.2">
      <c r="A68" s="48">
        <v>11</v>
      </c>
      <c r="B68" s="48"/>
      <c r="C68" s="209" t="s">
        <v>11</v>
      </c>
      <c r="D68" s="210"/>
      <c r="E68" s="210"/>
      <c r="F68" s="210"/>
      <c r="G68" s="211"/>
      <c r="H68" s="53">
        <f>SUM(H69:H70)</f>
        <v>2588.4846000000002</v>
      </c>
      <c r="I68" s="79">
        <f t="shared" si="17"/>
        <v>2588.4846000000002</v>
      </c>
    </row>
    <row r="69" spans="1:9" s="14" customFormat="1" ht="24" customHeight="1" x14ac:dyDescent="0.2">
      <c r="A69" s="41" t="s">
        <v>97</v>
      </c>
      <c r="B69" s="42">
        <v>95626</v>
      </c>
      <c r="C69" s="45" t="s">
        <v>190</v>
      </c>
      <c r="D69" s="42" t="s">
        <v>7</v>
      </c>
      <c r="E69" s="44">
        <v>130.13999999999999</v>
      </c>
      <c r="F69" s="50">
        <v>14.07</v>
      </c>
      <c r="G69" s="51">
        <f>TRUNC(F69*($H$7+1),2)</f>
        <v>17.190000000000001</v>
      </c>
      <c r="H69" s="52">
        <f>E69*G69</f>
        <v>2237.1066000000001</v>
      </c>
      <c r="I69" s="79">
        <f t="shared" si="17"/>
        <v>2237.1066000000001</v>
      </c>
    </row>
    <row r="70" spans="1:9" s="14" customFormat="1" ht="24" customHeight="1" x14ac:dyDescent="0.2">
      <c r="A70" s="41" t="s">
        <v>249</v>
      </c>
      <c r="B70" s="42">
        <v>88415</v>
      </c>
      <c r="C70" s="46" t="s">
        <v>189</v>
      </c>
      <c r="D70" s="42" t="s">
        <v>7</v>
      </c>
      <c r="E70" s="44">
        <v>130.13999999999999</v>
      </c>
      <c r="F70" s="50">
        <v>2.21</v>
      </c>
      <c r="G70" s="51">
        <f>TRUNC(F70*($H$7+1),2)</f>
        <v>2.7</v>
      </c>
      <c r="H70" s="52">
        <f>E70*G70</f>
        <v>351.37799999999999</v>
      </c>
      <c r="I70" s="79">
        <f t="shared" si="17"/>
        <v>351.37799999999999</v>
      </c>
    </row>
    <row r="71" spans="1:9" s="14" customFormat="1" ht="24" customHeight="1" x14ac:dyDescent="0.2">
      <c r="A71" s="48">
        <v>12</v>
      </c>
      <c r="B71" s="48"/>
      <c r="C71" s="209" t="s">
        <v>26</v>
      </c>
      <c r="D71" s="210"/>
      <c r="E71" s="210"/>
      <c r="F71" s="210"/>
      <c r="G71" s="211"/>
      <c r="H71" s="53">
        <f>SUM(H72:H73)</f>
        <v>6092.26</v>
      </c>
      <c r="I71" s="79">
        <f t="shared" si="17"/>
        <v>6092.26</v>
      </c>
    </row>
    <row r="72" spans="1:9" s="14" customFormat="1" ht="24" customHeight="1" x14ac:dyDescent="0.2">
      <c r="A72" s="41" t="s">
        <v>92</v>
      </c>
      <c r="B72" s="42">
        <v>87735</v>
      </c>
      <c r="C72" s="45" t="s">
        <v>191</v>
      </c>
      <c r="D72" s="42" t="s">
        <v>7</v>
      </c>
      <c r="E72" s="44">
        <v>21</v>
      </c>
      <c r="F72" s="50">
        <v>136.47999999999999</v>
      </c>
      <c r="G72" s="51">
        <f>TRUNC(F72*($H$7+1),2)</f>
        <v>166.81</v>
      </c>
      <c r="H72" s="52">
        <f>E72*G72</f>
        <v>3503.01</v>
      </c>
      <c r="I72" s="79"/>
    </row>
    <row r="73" spans="1:9" s="14" customFormat="1" ht="25.5" x14ac:dyDescent="0.2">
      <c r="A73" s="41" t="s">
        <v>93</v>
      </c>
      <c r="B73" s="42">
        <v>87257</v>
      </c>
      <c r="C73" s="45" t="s">
        <v>183</v>
      </c>
      <c r="D73" s="42" t="s">
        <v>7</v>
      </c>
      <c r="E73" s="42">
        <v>25</v>
      </c>
      <c r="F73" s="50">
        <v>84.74</v>
      </c>
      <c r="G73" s="51">
        <f>TRUNC(F73*($H$7+1),2)</f>
        <v>103.57</v>
      </c>
      <c r="H73" s="52">
        <f>E73*G73</f>
        <v>2589.25</v>
      </c>
      <c r="I73" s="79">
        <f t="shared" si="17"/>
        <v>2589.25</v>
      </c>
    </row>
    <row r="74" spans="1:9" s="14" customFormat="1" ht="24" customHeight="1" x14ac:dyDescent="0.2">
      <c r="A74" s="48">
        <v>13</v>
      </c>
      <c r="B74" s="48"/>
      <c r="C74" s="209" t="s">
        <v>90</v>
      </c>
      <c r="D74" s="210"/>
      <c r="E74" s="210"/>
      <c r="F74" s="210"/>
      <c r="G74" s="211"/>
      <c r="H74" s="53">
        <f>SUM(H75:H77)</f>
        <v>366.19759999999997</v>
      </c>
      <c r="I74" s="79">
        <f t="shared" si="17"/>
        <v>366.19759999999997</v>
      </c>
    </row>
    <row r="75" spans="1:9" s="14" customFormat="1" x14ac:dyDescent="0.2">
      <c r="A75" s="41" t="s">
        <v>250</v>
      </c>
      <c r="B75" s="42">
        <v>99811</v>
      </c>
      <c r="C75" s="39" t="s">
        <v>192</v>
      </c>
      <c r="D75" s="42" t="s">
        <v>7</v>
      </c>
      <c r="E75" s="44">
        <v>30</v>
      </c>
      <c r="F75" s="50">
        <v>2.94</v>
      </c>
      <c r="G75" s="51">
        <f>TRUNC(F75*($H$7+1),2)</f>
        <v>3.59</v>
      </c>
      <c r="H75" s="52">
        <f>E75*G75</f>
        <v>107.69999999999999</v>
      </c>
      <c r="I75" s="79">
        <f t="shared" si="17"/>
        <v>107.69999999999999</v>
      </c>
    </row>
    <row r="76" spans="1:9" s="14" customFormat="1" x14ac:dyDescent="0.2">
      <c r="A76" s="41" t="s">
        <v>251</v>
      </c>
      <c r="B76" s="42">
        <v>99803</v>
      </c>
      <c r="C76" s="45" t="s">
        <v>193</v>
      </c>
      <c r="D76" s="42" t="s">
        <v>7</v>
      </c>
      <c r="E76" s="44">
        <v>75</v>
      </c>
      <c r="F76" s="50">
        <v>1.72</v>
      </c>
      <c r="G76" s="51">
        <f>TRUNC(F76*($H$7+1),2)</f>
        <v>2.1</v>
      </c>
      <c r="H76" s="52">
        <f>E76*G76</f>
        <v>157.5</v>
      </c>
      <c r="I76" s="79">
        <f t="shared" si="17"/>
        <v>157.5</v>
      </c>
    </row>
    <row r="77" spans="1:9" s="14" customFormat="1" ht="25.5" x14ac:dyDescent="0.2">
      <c r="A77" s="41" t="s">
        <v>276</v>
      </c>
      <c r="B77" s="42">
        <v>97637</v>
      </c>
      <c r="C77" s="45" t="s">
        <v>277</v>
      </c>
      <c r="D77" s="42" t="s">
        <v>7</v>
      </c>
      <c r="E77" s="44">
        <v>39.92</v>
      </c>
      <c r="F77" s="50">
        <v>2.0699999999999998</v>
      </c>
      <c r="G77" s="51">
        <f>TRUNC(F77*($H$7+1),2)</f>
        <v>2.5299999999999998</v>
      </c>
      <c r="H77" s="52">
        <f>E77*G77</f>
        <v>100.99759999999999</v>
      </c>
      <c r="I77" s="79"/>
    </row>
    <row r="78" spans="1:9" ht="30" customHeight="1" thickBot="1" x14ac:dyDescent="0.25">
      <c r="A78" s="205" t="s">
        <v>134</v>
      </c>
      <c r="B78" s="206"/>
      <c r="C78" s="206"/>
      <c r="D78" s="206"/>
      <c r="E78" s="206"/>
      <c r="F78" s="206"/>
      <c r="G78" s="206"/>
      <c r="H78" s="108">
        <f>SUM(H14+H16+H21+H23+H30+H36+H44+H56+H58+H62+H64+H68+H71+H74)</f>
        <v>100014.29891494999</v>
      </c>
      <c r="I78" s="79">
        <f>SUM(I14:I76)/2</f>
        <v>80876.172873549978</v>
      </c>
    </row>
    <row r="79" spans="1:9" ht="30" customHeight="1" x14ac:dyDescent="0.2">
      <c r="A79" s="207" t="s">
        <v>124</v>
      </c>
      <c r="B79" s="208"/>
      <c r="C79" s="208"/>
      <c r="D79" s="208"/>
      <c r="E79" s="208"/>
      <c r="F79" s="208"/>
      <c r="G79" s="208"/>
      <c r="H79" s="166">
        <f>H78</f>
        <v>100014.29891494999</v>
      </c>
    </row>
    <row r="80" spans="1:9" ht="60" customHeight="1" x14ac:dyDescent="0.2">
      <c r="A80" s="7"/>
      <c r="B80" s="1"/>
      <c r="C80" s="1"/>
      <c r="D80" s="1"/>
      <c r="E80" s="4"/>
      <c r="F80" s="4"/>
      <c r="G80" s="1"/>
      <c r="H80" s="1"/>
    </row>
    <row r="81" spans="1:1" x14ac:dyDescent="0.2">
      <c r="A81" s="1"/>
    </row>
  </sheetData>
  <mergeCells count="22">
    <mergeCell ref="A12:H12"/>
    <mergeCell ref="C74:G74"/>
    <mergeCell ref="C71:G71"/>
    <mergeCell ref="C14:G14"/>
    <mergeCell ref="C16:G16"/>
    <mergeCell ref="C21:G21"/>
    <mergeCell ref="A78:G78"/>
    <mergeCell ref="A79:G79"/>
    <mergeCell ref="C23:G23"/>
    <mergeCell ref="C36:G36"/>
    <mergeCell ref="C56:G56"/>
    <mergeCell ref="C58:G58"/>
    <mergeCell ref="C62:G62"/>
    <mergeCell ref="C64:G64"/>
    <mergeCell ref="C68:G68"/>
    <mergeCell ref="C44:G44"/>
    <mergeCell ref="C30:G30"/>
    <mergeCell ref="B8:C8"/>
    <mergeCell ref="B9:C9"/>
    <mergeCell ref="A1:H6"/>
    <mergeCell ref="A11:H11"/>
    <mergeCell ref="B7:C7"/>
  </mergeCells>
  <pageMargins left="0.511811024" right="0.511811024" top="0.78740157499999996" bottom="0.78740157499999996" header="0.31496062000000002" footer="0.31496062000000002"/>
  <pageSetup paperSize="9" scale="4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view="pageBreakPreview" zoomScale="85" zoomScaleNormal="100" zoomScaleSheetLayoutView="85" workbookViewId="0">
      <selection activeCell="G1" sqref="A1:XFD10"/>
    </sheetView>
  </sheetViews>
  <sheetFormatPr defaultRowHeight="14.25" x14ac:dyDescent="0.2"/>
  <cols>
    <col min="1" max="1" width="11" style="2" customWidth="1"/>
    <col min="2" max="2" width="23.5" style="2" customWidth="1"/>
    <col min="3" max="3" width="78.125" style="2" customWidth="1"/>
    <col min="4" max="4" width="10.125" style="2" bestFit="1" customWidth="1"/>
    <col min="5" max="5" width="13.125" style="2" customWidth="1"/>
    <col min="6" max="6" width="15.75" style="3" bestFit="1" customWidth="1"/>
    <col min="7" max="16384" width="9" style="2"/>
  </cols>
  <sheetData>
    <row r="1" spans="1:6" x14ac:dyDescent="0.2">
      <c r="A1" s="225" t="s">
        <v>117</v>
      </c>
      <c r="B1" s="226"/>
      <c r="C1" s="226"/>
      <c r="D1" s="226"/>
      <c r="E1" s="226"/>
      <c r="F1" s="227"/>
    </row>
    <row r="2" spans="1:6" ht="15.75" customHeight="1" x14ac:dyDescent="0.2">
      <c r="A2" s="228"/>
      <c r="B2" s="229"/>
      <c r="C2" s="229"/>
      <c r="D2" s="229"/>
      <c r="E2" s="229"/>
      <c r="F2" s="230"/>
    </row>
    <row r="3" spans="1:6" ht="15" customHeight="1" x14ac:dyDescent="0.2">
      <c r="A3" s="228"/>
      <c r="B3" s="229"/>
      <c r="C3" s="229"/>
      <c r="D3" s="229"/>
      <c r="E3" s="229"/>
      <c r="F3" s="230"/>
    </row>
    <row r="4" spans="1:6" ht="15.75" customHeight="1" x14ac:dyDescent="0.2">
      <c r="A4" s="228"/>
      <c r="B4" s="229"/>
      <c r="C4" s="229"/>
      <c r="D4" s="229"/>
      <c r="E4" s="229"/>
      <c r="F4" s="230"/>
    </row>
    <row r="5" spans="1:6" ht="27.75" customHeight="1" thickBot="1" x14ac:dyDescent="0.25">
      <c r="A5" s="231"/>
      <c r="B5" s="232"/>
      <c r="C5" s="232"/>
      <c r="D5" s="232"/>
      <c r="E5" s="232"/>
      <c r="F5" s="233"/>
    </row>
    <row r="6" spans="1:6" ht="15.75" x14ac:dyDescent="0.2">
      <c r="A6" s="32" t="s">
        <v>108</v>
      </c>
      <c r="B6" s="194" t="s">
        <v>279</v>
      </c>
      <c r="C6" s="194"/>
      <c r="D6" s="20"/>
      <c r="E6" s="22" t="s">
        <v>109</v>
      </c>
      <c r="F6" s="23">
        <v>0.2223</v>
      </c>
    </row>
    <row r="7" spans="1:6" ht="15.75" x14ac:dyDescent="0.2">
      <c r="A7" s="32"/>
      <c r="D7" s="20"/>
      <c r="E7" s="22"/>
      <c r="F7" s="23"/>
    </row>
    <row r="8" spans="1:6" ht="15.75" x14ac:dyDescent="0.2">
      <c r="A8" s="32" t="s">
        <v>110</v>
      </c>
      <c r="B8" s="194" t="s">
        <v>280</v>
      </c>
      <c r="C8" s="194"/>
      <c r="D8" s="20"/>
      <c r="E8" s="24" t="s">
        <v>111</v>
      </c>
      <c r="F8" s="25">
        <v>44707</v>
      </c>
    </row>
    <row r="9" spans="1:6" ht="15.75" x14ac:dyDescent="0.2">
      <c r="A9" s="32" t="s">
        <v>112</v>
      </c>
      <c r="B9" s="194" t="s">
        <v>278</v>
      </c>
      <c r="C9" s="194"/>
      <c r="D9" s="20"/>
      <c r="E9" s="24" t="s">
        <v>113</v>
      </c>
      <c r="F9" s="26" t="s">
        <v>125</v>
      </c>
    </row>
    <row r="10" spans="1:6" ht="16.5" thickBot="1" x14ac:dyDescent="0.25">
      <c r="A10" s="32" t="s">
        <v>114</v>
      </c>
      <c r="B10" s="27" t="s">
        <v>176</v>
      </c>
      <c r="C10" s="28"/>
      <c r="D10" s="29"/>
      <c r="E10" s="30" t="s">
        <v>115</v>
      </c>
      <c r="F10" s="31" t="s">
        <v>116</v>
      </c>
    </row>
    <row r="11" spans="1:6" ht="15" customHeight="1" thickBot="1" x14ac:dyDescent="0.25">
      <c r="A11" s="234" t="s">
        <v>118</v>
      </c>
      <c r="B11" s="202"/>
      <c r="C11" s="202"/>
      <c r="D11" s="202"/>
      <c r="E11" s="202"/>
      <c r="F11" s="235"/>
    </row>
    <row r="12" spans="1:6" ht="21" customHeight="1" thickBot="1" x14ac:dyDescent="0.35">
      <c r="A12" s="219" t="s">
        <v>135</v>
      </c>
      <c r="B12" s="213"/>
      <c r="C12" s="213"/>
      <c r="D12" s="213"/>
      <c r="E12" s="213"/>
      <c r="F12" s="220"/>
    </row>
    <row r="13" spans="1:6" x14ac:dyDescent="0.2">
      <c r="A13" s="7"/>
      <c r="B13" s="1"/>
      <c r="C13" s="1"/>
      <c r="D13" s="1"/>
      <c r="E13" s="1"/>
      <c r="F13" s="1"/>
    </row>
    <row r="14" spans="1:6" x14ac:dyDescent="0.2">
      <c r="A14" s="1"/>
    </row>
    <row r="15" spans="1:6" ht="15" x14ac:dyDescent="0.2">
      <c r="A15" s="54" t="s">
        <v>119</v>
      </c>
      <c r="B15" s="55" t="s">
        <v>1</v>
      </c>
      <c r="C15" s="54" t="s">
        <v>2</v>
      </c>
      <c r="D15" s="56" t="s">
        <v>3</v>
      </c>
      <c r="E15" s="57" t="s">
        <v>136</v>
      </c>
      <c r="F15" s="57" t="s">
        <v>4</v>
      </c>
    </row>
    <row r="16" spans="1:6" ht="25.5" x14ac:dyDescent="0.2">
      <c r="A16" s="58" t="s">
        <v>137</v>
      </c>
      <c r="B16" s="59" t="s">
        <v>69</v>
      </c>
      <c r="C16" s="58" t="s">
        <v>138</v>
      </c>
      <c r="D16" s="60">
        <v>1</v>
      </c>
      <c r="E16" s="61">
        <f>F17+F18</f>
        <v>9196.4399999999987</v>
      </c>
      <c r="F16" s="61">
        <f>E16</f>
        <v>9196.4399999999987</v>
      </c>
    </row>
    <row r="17" spans="1:6" ht="51" x14ac:dyDescent="0.2">
      <c r="A17" s="62">
        <v>90777</v>
      </c>
      <c r="B17" s="63" t="s">
        <v>139</v>
      </c>
      <c r="C17" s="62" t="s">
        <v>140</v>
      </c>
      <c r="D17" s="64">
        <v>50</v>
      </c>
      <c r="E17" s="65">
        <v>93.77</v>
      </c>
      <c r="F17" s="65">
        <f>E17*D17</f>
        <v>4688.5</v>
      </c>
    </row>
    <row r="18" spans="1:6" ht="38.25" x14ac:dyDescent="0.2">
      <c r="A18" s="62">
        <v>93572</v>
      </c>
      <c r="B18" s="63" t="s">
        <v>141</v>
      </c>
      <c r="C18" s="62" t="s">
        <v>142</v>
      </c>
      <c r="D18" s="64">
        <v>1</v>
      </c>
      <c r="E18" s="65">
        <v>4507.9399999999996</v>
      </c>
      <c r="F18" s="65">
        <f>E18*D18</f>
        <v>4507.9399999999996</v>
      </c>
    </row>
    <row r="19" spans="1:6" ht="14.25" customHeight="1" x14ac:dyDescent="0.2">
      <c r="A19" s="66" t="s">
        <v>143</v>
      </c>
      <c r="B19" s="67"/>
      <c r="C19" s="67"/>
      <c r="D19" s="67"/>
      <c r="E19" s="68"/>
      <c r="F19" s="69"/>
    </row>
    <row r="20" spans="1:6" ht="45.75" customHeight="1" x14ac:dyDescent="0.2">
      <c r="A20" s="221" t="s">
        <v>144</v>
      </c>
      <c r="B20" s="222"/>
      <c r="C20" s="222"/>
      <c r="D20" s="222"/>
      <c r="E20" s="222"/>
      <c r="F20" s="223"/>
    </row>
    <row r="22" spans="1:6" ht="15" x14ac:dyDescent="0.2">
      <c r="A22" s="54" t="s">
        <v>119</v>
      </c>
      <c r="B22" s="55" t="s">
        <v>1</v>
      </c>
      <c r="C22" s="54" t="s">
        <v>2</v>
      </c>
      <c r="D22" s="56" t="s">
        <v>3</v>
      </c>
      <c r="E22" s="56" t="s">
        <v>136</v>
      </c>
      <c r="F22" s="56" t="s">
        <v>4</v>
      </c>
    </row>
    <row r="23" spans="1:6" ht="76.5" x14ac:dyDescent="0.2">
      <c r="A23" s="58" t="s">
        <v>252</v>
      </c>
      <c r="B23" s="59" t="s">
        <v>146</v>
      </c>
      <c r="C23" s="58" t="s">
        <v>7</v>
      </c>
      <c r="D23" s="60">
        <v>1</v>
      </c>
      <c r="E23" s="61">
        <f>SUM(F24:F30)</f>
        <v>331.18069999999994</v>
      </c>
      <c r="F23" s="61">
        <f>D23*E23</f>
        <v>331.18069999999994</v>
      </c>
    </row>
    <row r="24" spans="1:6" ht="38.25" x14ac:dyDescent="0.2">
      <c r="A24" s="71" t="s">
        <v>147</v>
      </c>
      <c r="B24" s="72" t="s">
        <v>148</v>
      </c>
      <c r="C24" s="71" t="s">
        <v>140</v>
      </c>
      <c r="D24" s="73">
        <v>1</v>
      </c>
      <c r="E24" s="74">
        <v>22.16</v>
      </c>
      <c r="F24" s="74">
        <f>D24*E24</f>
        <v>22.16</v>
      </c>
    </row>
    <row r="25" spans="1:6" ht="38.25" x14ac:dyDescent="0.2">
      <c r="A25" s="71" t="s">
        <v>149</v>
      </c>
      <c r="B25" s="72" t="s">
        <v>150</v>
      </c>
      <c r="C25" s="71" t="s">
        <v>140</v>
      </c>
      <c r="D25" s="73">
        <v>2</v>
      </c>
      <c r="E25" s="74">
        <v>17.82</v>
      </c>
      <c r="F25" s="74">
        <f t="shared" ref="F25:F26" si="0">D25*E25</f>
        <v>35.64</v>
      </c>
    </row>
    <row r="26" spans="1:6" ht="89.25" x14ac:dyDescent="0.2">
      <c r="A26" s="71" t="s">
        <v>151</v>
      </c>
      <c r="B26" s="72" t="s">
        <v>152</v>
      </c>
      <c r="C26" s="71" t="s">
        <v>6</v>
      </c>
      <c r="D26" s="73">
        <v>0.01</v>
      </c>
      <c r="E26" s="74">
        <v>346.95</v>
      </c>
      <c r="F26" s="74">
        <f t="shared" si="0"/>
        <v>3.4695</v>
      </c>
    </row>
    <row r="27" spans="1:6" ht="63.75" x14ac:dyDescent="0.2">
      <c r="A27" s="75" t="s">
        <v>153</v>
      </c>
      <c r="B27" s="76" t="s">
        <v>154</v>
      </c>
      <c r="C27" s="75" t="s">
        <v>12</v>
      </c>
      <c r="D27" s="77">
        <v>1</v>
      </c>
      <c r="E27" s="78">
        <v>6.12</v>
      </c>
      <c r="F27" s="78">
        <f>D27*E27</f>
        <v>6.12</v>
      </c>
    </row>
    <row r="28" spans="1:6" ht="51" x14ac:dyDescent="0.2">
      <c r="A28" s="75" t="s">
        <v>155</v>
      </c>
      <c r="B28" s="76" t="s">
        <v>156</v>
      </c>
      <c r="C28" s="75" t="s">
        <v>12</v>
      </c>
      <c r="D28" s="77">
        <v>4</v>
      </c>
      <c r="E28" s="78">
        <v>9.0399999999999991</v>
      </c>
      <c r="F28" s="78">
        <f t="shared" ref="F28:F30" si="1">D28*E28</f>
        <v>36.159999999999997</v>
      </c>
    </row>
    <row r="29" spans="1:6" ht="63.75" x14ac:dyDescent="0.2">
      <c r="A29" s="75" t="s">
        <v>157</v>
      </c>
      <c r="B29" s="76" t="s">
        <v>158</v>
      </c>
      <c r="C29" s="75" t="s">
        <v>7</v>
      </c>
      <c r="D29" s="77">
        <v>1</v>
      </c>
      <c r="E29" s="78">
        <v>225</v>
      </c>
      <c r="F29" s="78">
        <f t="shared" si="1"/>
        <v>225</v>
      </c>
    </row>
    <row r="30" spans="1:6" ht="38.25" x14ac:dyDescent="0.2">
      <c r="A30" s="75" t="s">
        <v>159</v>
      </c>
      <c r="B30" s="76" t="s">
        <v>160</v>
      </c>
      <c r="C30" s="75" t="s">
        <v>161</v>
      </c>
      <c r="D30" s="77">
        <v>0.11</v>
      </c>
      <c r="E30" s="78">
        <v>23.92</v>
      </c>
      <c r="F30" s="78">
        <f t="shared" si="1"/>
        <v>2.6312000000000002</v>
      </c>
    </row>
    <row r="31" spans="1:6" x14ac:dyDescent="0.2">
      <c r="A31" s="218" t="s">
        <v>162</v>
      </c>
      <c r="B31" s="218"/>
      <c r="C31" s="218"/>
      <c r="D31" s="218"/>
      <c r="E31" s="218"/>
      <c r="F31" s="218"/>
    </row>
    <row r="32" spans="1:6" x14ac:dyDescent="0.2">
      <c r="A32" s="224"/>
      <c r="B32" s="224"/>
      <c r="C32" s="224"/>
      <c r="D32" s="224"/>
      <c r="E32" s="224"/>
      <c r="F32" s="224"/>
    </row>
    <row r="34" spans="1:6" ht="15" x14ac:dyDescent="0.2">
      <c r="A34" s="54" t="s">
        <v>119</v>
      </c>
      <c r="B34" s="55" t="s">
        <v>1</v>
      </c>
      <c r="C34" s="54" t="s">
        <v>2</v>
      </c>
      <c r="D34" s="56" t="s">
        <v>3</v>
      </c>
      <c r="E34" s="56" t="s">
        <v>136</v>
      </c>
      <c r="F34" s="56" t="s">
        <v>4</v>
      </c>
    </row>
    <row r="35" spans="1:6" ht="89.25" x14ac:dyDescent="0.2">
      <c r="A35" s="58" t="s">
        <v>253</v>
      </c>
      <c r="B35" s="59" t="s">
        <v>102</v>
      </c>
      <c r="C35" s="58" t="s">
        <v>6</v>
      </c>
      <c r="D35" s="60">
        <v>1</v>
      </c>
      <c r="E35" s="61">
        <f>SUM(F36:F40)</f>
        <v>605.83742999999993</v>
      </c>
      <c r="F35" s="61">
        <f>D35*E35</f>
        <v>605.83742999999993</v>
      </c>
    </row>
    <row r="36" spans="1:6" ht="38.25" x14ac:dyDescent="0.2">
      <c r="A36" s="71" t="s">
        <v>164</v>
      </c>
      <c r="B36" s="72" t="s">
        <v>165</v>
      </c>
      <c r="C36" s="71" t="s">
        <v>140</v>
      </c>
      <c r="D36" s="73">
        <v>2.3860000000000001</v>
      </c>
      <c r="E36" s="74">
        <v>22.41</v>
      </c>
      <c r="F36" s="74">
        <f>D36*E36</f>
        <v>53.470260000000003</v>
      </c>
    </row>
    <row r="37" spans="1:6" ht="38.25" x14ac:dyDescent="0.2">
      <c r="A37" s="71" t="s">
        <v>149</v>
      </c>
      <c r="B37" s="72" t="s">
        <v>150</v>
      </c>
      <c r="C37" s="71" t="s">
        <v>140</v>
      </c>
      <c r="D37" s="73">
        <v>2.4500000000000002</v>
      </c>
      <c r="E37" s="74">
        <v>17.82</v>
      </c>
      <c r="F37" s="74">
        <f t="shared" ref="F37:F40" si="2">D37*E37</f>
        <v>43.659000000000006</v>
      </c>
    </row>
    <row r="38" spans="1:6" ht="76.5" x14ac:dyDescent="0.2">
      <c r="A38" s="71" t="s">
        <v>166</v>
      </c>
      <c r="B38" s="72" t="s">
        <v>167</v>
      </c>
      <c r="C38" s="71" t="s">
        <v>168</v>
      </c>
      <c r="D38" s="73">
        <v>0.314</v>
      </c>
      <c r="E38" s="74">
        <v>1.27</v>
      </c>
      <c r="F38" s="74">
        <f t="shared" si="2"/>
        <v>0.39878000000000002</v>
      </c>
    </row>
    <row r="39" spans="1:6" ht="76.5" x14ac:dyDescent="0.2">
      <c r="A39" s="71" t="s">
        <v>169</v>
      </c>
      <c r="B39" s="72" t="s">
        <v>170</v>
      </c>
      <c r="C39" s="71" t="s">
        <v>171</v>
      </c>
      <c r="D39" s="73">
        <v>0.91100000000000003</v>
      </c>
      <c r="E39" s="74">
        <v>0.49</v>
      </c>
      <c r="F39" s="74">
        <f t="shared" si="2"/>
        <v>0.44639000000000001</v>
      </c>
    </row>
    <row r="40" spans="1:6" ht="76.5" x14ac:dyDescent="0.2">
      <c r="A40" s="71" t="s">
        <v>172</v>
      </c>
      <c r="B40" s="72" t="s">
        <v>173</v>
      </c>
      <c r="C40" s="71" t="s">
        <v>6</v>
      </c>
      <c r="D40" s="73">
        <v>1.1499999999999999</v>
      </c>
      <c r="E40" s="74">
        <v>441.62</v>
      </c>
      <c r="F40" s="74">
        <f t="shared" si="2"/>
        <v>507.86299999999994</v>
      </c>
    </row>
    <row r="41" spans="1:6" x14ac:dyDescent="0.2">
      <c r="A41" s="218" t="s">
        <v>162</v>
      </c>
      <c r="B41" s="218"/>
      <c r="C41" s="218"/>
      <c r="D41" s="218"/>
      <c r="E41" s="218"/>
      <c r="F41" s="218"/>
    </row>
    <row r="42" spans="1:6" x14ac:dyDescent="0.2">
      <c r="A42" s="224" t="s">
        <v>174</v>
      </c>
      <c r="B42" s="224"/>
      <c r="C42" s="224"/>
      <c r="D42" s="224"/>
      <c r="E42" s="224"/>
      <c r="F42" s="224"/>
    </row>
    <row r="44" spans="1:6" ht="15" x14ac:dyDescent="0.2">
      <c r="A44" s="54" t="s">
        <v>119</v>
      </c>
      <c r="B44" s="55" t="s">
        <v>1</v>
      </c>
      <c r="C44" s="54" t="s">
        <v>2</v>
      </c>
      <c r="D44" s="56" t="s">
        <v>3</v>
      </c>
      <c r="E44" s="56" t="s">
        <v>136</v>
      </c>
      <c r="F44" s="56" t="s">
        <v>4</v>
      </c>
    </row>
    <row r="45" spans="1:6" ht="51" x14ac:dyDescent="0.2">
      <c r="A45" s="58" t="s">
        <v>254</v>
      </c>
      <c r="B45" s="59" t="s">
        <v>196</v>
      </c>
      <c r="C45" s="58" t="s">
        <v>7</v>
      </c>
      <c r="D45" s="60">
        <v>1</v>
      </c>
      <c r="E45" s="61">
        <f>SUM(F46:F72)</f>
        <v>406.57248399999997</v>
      </c>
      <c r="F45" s="61">
        <f t="shared" ref="F45:F72" si="3">D45*E45</f>
        <v>406.57248399999997</v>
      </c>
    </row>
    <row r="46" spans="1:6" x14ac:dyDescent="0.2">
      <c r="A46" s="81">
        <v>10</v>
      </c>
      <c r="B46" s="72" t="s">
        <v>197</v>
      </c>
      <c r="C46" s="71" t="s">
        <v>140</v>
      </c>
      <c r="D46" s="73">
        <v>1.9232</v>
      </c>
      <c r="E46" s="74">
        <v>18.510000000000002</v>
      </c>
      <c r="F46" s="74">
        <f t="shared" si="3"/>
        <v>35.598432000000003</v>
      </c>
    </row>
    <row r="47" spans="1:6" x14ac:dyDescent="0.2">
      <c r="A47" s="81">
        <v>6</v>
      </c>
      <c r="B47" s="72" t="s">
        <v>198</v>
      </c>
      <c r="C47" s="71" t="s">
        <v>140</v>
      </c>
      <c r="D47" s="73">
        <v>0.73409999999999997</v>
      </c>
      <c r="E47" s="74">
        <v>18.510000000000002</v>
      </c>
      <c r="F47" s="74">
        <f t="shared" ref="F47:F67" si="4">D47*E47</f>
        <v>13.588191</v>
      </c>
    </row>
    <row r="48" spans="1:6" x14ac:dyDescent="0.2">
      <c r="A48" s="81">
        <v>8</v>
      </c>
      <c r="B48" s="72" t="s">
        <v>199</v>
      </c>
      <c r="C48" s="71" t="s">
        <v>140</v>
      </c>
      <c r="D48" s="73">
        <v>0.79520000000000002</v>
      </c>
      <c r="E48" s="74">
        <v>12.31</v>
      </c>
      <c r="F48" s="74">
        <f t="shared" si="4"/>
        <v>9.7889119999999998</v>
      </c>
    </row>
    <row r="49" spans="1:6" x14ac:dyDescent="0.2">
      <c r="A49" s="81">
        <v>5</v>
      </c>
      <c r="B49" s="72" t="s">
        <v>200</v>
      </c>
      <c r="C49" s="71" t="s">
        <v>140</v>
      </c>
      <c r="D49" s="73">
        <v>5.1791999999999998</v>
      </c>
      <c r="E49" s="74">
        <v>12.31</v>
      </c>
      <c r="F49" s="74">
        <f t="shared" si="4"/>
        <v>63.755952000000001</v>
      </c>
    </row>
    <row r="50" spans="1:6" x14ac:dyDescent="0.2">
      <c r="A50" s="81">
        <v>32</v>
      </c>
      <c r="B50" s="72" t="s">
        <v>201</v>
      </c>
      <c r="C50" s="71" t="s">
        <v>140</v>
      </c>
      <c r="D50" s="73">
        <v>0.255</v>
      </c>
      <c r="E50" s="74">
        <v>14.76</v>
      </c>
      <c r="F50" s="74">
        <f t="shared" si="4"/>
        <v>3.7637999999999998</v>
      </c>
    </row>
    <row r="51" spans="1:6" x14ac:dyDescent="0.2">
      <c r="A51" s="81">
        <v>4</v>
      </c>
      <c r="B51" s="72" t="s">
        <v>202</v>
      </c>
      <c r="C51" s="71" t="s">
        <v>140</v>
      </c>
      <c r="D51" s="73">
        <v>1.2330000000000001</v>
      </c>
      <c r="E51" s="74">
        <v>18.510000000000002</v>
      </c>
      <c r="F51" s="74">
        <f t="shared" si="4"/>
        <v>22.822830000000003</v>
      </c>
    </row>
    <row r="52" spans="1:6" x14ac:dyDescent="0.2">
      <c r="A52" s="81">
        <v>2804</v>
      </c>
      <c r="B52" s="72" t="s">
        <v>203</v>
      </c>
      <c r="C52" s="71" t="s">
        <v>224</v>
      </c>
      <c r="D52" s="73">
        <v>0.13089999999999999</v>
      </c>
      <c r="E52" s="74">
        <v>169.44</v>
      </c>
      <c r="F52" s="74">
        <f t="shared" si="4"/>
        <v>22.179695999999996</v>
      </c>
    </row>
    <row r="53" spans="1:6" x14ac:dyDescent="0.2">
      <c r="A53" s="81">
        <v>2133</v>
      </c>
      <c r="B53" s="72" t="s">
        <v>204</v>
      </c>
      <c r="C53" s="71" t="s">
        <v>12</v>
      </c>
      <c r="D53" s="73">
        <v>5.8400000000000001E-2</v>
      </c>
      <c r="E53" s="74">
        <v>26.47</v>
      </c>
      <c r="F53" s="74">
        <f t="shared" si="4"/>
        <v>1.5458479999999999</v>
      </c>
    </row>
    <row r="54" spans="1:6" ht="25.5" x14ac:dyDescent="0.2">
      <c r="A54" s="81">
        <v>2380</v>
      </c>
      <c r="B54" s="72" t="s">
        <v>205</v>
      </c>
      <c r="C54" s="71" t="s">
        <v>12</v>
      </c>
      <c r="D54" s="73">
        <v>3.4439000000000002</v>
      </c>
      <c r="E54" s="74">
        <v>3.26</v>
      </c>
      <c r="F54" s="74">
        <f t="shared" si="4"/>
        <v>11.227114</v>
      </c>
    </row>
    <row r="55" spans="1:6" x14ac:dyDescent="0.2">
      <c r="A55" s="81">
        <v>1964</v>
      </c>
      <c r="B55" s="72" t="s">
        <v>223</v>
      </c>
      <c r="C55" s="71" t="s">
        <v>12</v>
      </c>
      <c r="D55" s="73">
        <v>6.0400000000000002E-2</v>
      </c>
      <c r="E55" s="74">
        <v>2.61</v>
      </c>
      <c r="F55" s="74">
        <f t="shared" si="4"/>
        <v>0.15764400000000001</v>
      </c>
    </row>
    <row r="56" spans="1:6" x14ac:dyDescent="0.2">
      <c r="A56" s="81">
        <v>1863</v>
      </c>
      <c r="B56" s="72" t="s">
        <v>206</v>
      </c>
      <c r="C56" s="71" t="s">
        <v>161</v>
      </c>
      <c r="D56" s="73">
        <v>0.36030000000000001</v>
      </c>
      <c r="E56" s="74">
        <v>18.170000000000002</v>
      </c>
      <c r="F56" s="74">
        <f t="shared" si="4"/>
        <v>6.5466510000000007</v>
      </c>
    </row>
    <row r="57" spans="1:6" x14ac:dyDescent="0.2">
      <c r="A57" s="81">
        <v>1861</v>
      </c>
      <c r="B57" s="72" t="s">
        <v>207</v>
      </c>
      <c r="C57" s="71" t="s">
        <v>161</v>
      </c>
      <c r="D57" s="73">
        <v>1.9599999999999999E-2</v>
      </c>
      <c r="E57" s="74">
        <v>18.170000000000002</v>
      </c>
      <c r="F57" s="74">
        <f t="shared" si="4"/>
        <v>0.356132</v>
      </c>
    </row>
    <row r="58" spans="1:6" x14ac:dyDescent="0.2">
      <c r="A58" s="81">
        <v>1858</v>
      </c>
      <c r="B58" s="72" t="s">
        <v>208</v>
      </c>
      <c r="C58" s="71" t="s">
        <v>12</v>
      </c>
      <c r="D58" s="73">
        <v>0.27550000000000002</v>
      </c>
      <c r="E58" s="74">
        <v>9.7100000000000009</v>
      </c>
      <c r="F58" s="74">
        <f t="shared" si="4"/>
        <v>2.6751050000000003</v>
      </c>
    </row>
    <row r="59" spans="1:6" ht="15.75" customHeight="1" x14ac:dyDescent="0.2">
      <c r="A59" s="81">
        <v>2023</v>
      </c>
      <c r="B59" s="72" t="s">
        <v>209</v>
      </c>
      <c r="C59" s="71" t="s">
        <v>12</v>
      </c>
      <c r="D59" s="73">
        <v>1.3601000000000001</v>
      </c>
      <c r="E59" s="74">
        <v>15.39</v>
      </c>
      <c r="F59" s="74">
        <f t="shared" si="4"/>
        <v>20.931939000000003</v>
      </c>
    </row>
    <row r="60" spans="1:6" ht="38.25" x14ac:dyDescent="0.2">
      <c r="A60" s="81">
        <v>1696</v>
      </c>
      <c r="B60" s="72" t="s">
        <v>210</v>
      </c>
      <c r="C60" s="71" t="s">
        <v>13</v>
      </c>
      <c r="D60" s="73">
        <v>0.59409999999999996</v>
      </c>
      <c r="E60" s="74">
        <v>24.76</v>
      </c>
      <c r="F60" s="74">
        <f t="shared" si="4"/>
        <v>14.709916</v>
      </c>
    </row>
    <row r="61" spans="1:6" ht="25.5" x14ac:dyDescent="0.2">
      <c r="A61" s="81">
        <v>1263</v>
      </c>
      <c r="B61" s="72" t="s">
        <v>211</v>
      </c>
      <c r="C61" s="71" t="s">
        <v>225</v>
      </c>
      <c r="D61" s="73">
        <v>0.20380000000000001</v>
      </c>
      <c r="E61" s="74">
        <v>5.88</v>
      </c>
      <c r="F61" s="74">
        <f t="shared" si="4"/>
        <v>1.1983440000000001</v>
      </c>
    </row>
    <row r="62" spans="1:6" x14ac:dyDescent="0.2">
      <c r="A62" s="81">
        <v>1218</v>
      </c>
      <c r="B62" s="72" t="s">
        <v>212</v>
      </c>
      <c r="C62" s="71" t="s">
        <v>12</v>
      </c>
      <c r="D62" s="73">
        <v>0.19289999999999999</v>
      </c>
      <c r="E62" s="74">
        <v>20.98</v>
      </c>
      <c r="F62" s="74">
        <f t="shared" si="4"/>
        <v>4.0470420000000003</v>
      </c>
    </row>
    <row r="63" spans="1:6" ht="25.5" x14ac:dyDescent="0.2">
      <c r="A63" s="81">
        <v>2420</v>
      </c>
      <c r="B63" s="72" t="s">
        <v>213</v>
      </c>
      <c r="C63" s="71" t="s">
        <v>226</v>
      </c>
      <c r="D63" s="73">
        <v>20.908000000000001</v>
      </c>
      <c r="E63" s="74">
        <v>2.46</v>
      </c>
      <c r="F63" s="74">
        <f t="shared" si="4"/>
        <v>51.433680000000003</v>
      </c>
    </row>
    <row r="64" spans="1:6" ht="14.25" customHeight="1" x14ac:dyDescent="0.2">
      <c r="A64" s="81">
        <v>1215</v>
      </c>
      <c r="B64" s="72" t="s">
        <v>214</v>
      </c>
      <c r="C64" s="71" t="s">
        <v>161</v>
      </c>
      <c r="D64" s="73">
        <v>43.898800000000001</v>
      </c>
      <c r="E64" s="74">
        <v>0.6</v>
      </c>
      <c r="F64" s="74">
        <f t="shared" si="4"/>
        <v>26.339279999999999</v>
      </c>
    </row>
    <row r="65" spans="1:6" x14ac:dyDescent="0.2">
      <c r="A65" s="81">
        <v>2386</v>
      </c>
      <c r="B65" s="72" t="s">
        <v>215</v>
      </c>
      <c r="C65" s="71" t="s">
        <v>224</v>
      </c>
      <c r="D65" s="73">
        <v>5.8099999999999999E-2</v>
      </c>
      <c r="E65" s="74">
        <v>100.76</v>
      </c>
      <c r="F65" s="74">
        <f t="shared" si="4"/>
        <v>5.8541560000000006</v>
      </c>
    </row>
    <row r="66" spans="1:6" x14ac:dyDescent="0.2">
      <c r="A66" s="81">
        <v>2497</v>
      </c>
      <c r="B66" s="72" t="s">
        <v>216</v>
      </c>
      <c r="C66" s="71" t="s">
        <v>161</v>
      </c>
      <c r="D66" s="73">
        <v>5.8099999999999999E-2</v>
      </c>
      <c r="E66" s="74">
        <v>100.76</v>
      </c>
      <c r="F66" s="74">
        <f t="shared" si="4"/>
        <v>5.8541560000000006</v>
      </c>
    </row>
    <row r="67" spans="1:6" x14ac:dyDescent="0.2">
      <c r="A67" s="81">
        <v>2440</v>
      </c>
      <c r="B67" s="72" t="s">
        <v>217</v>
      </c>
      <c r="C67" s="71" t="s">
        <v>161</v>
      </c>
      <c r="D67" s="73">
        <v>4.12</v>
      </c>
      <c r="E67" s="74">
        <v>7.38</v>
      </c>
      <c r="F67" s="74">
        <f t="shared" si="4"/>
        <v>30.4056</v>
      </c>
    </row>
    <row r="68" spans="1:6" x14ac:dyDescent="0.2">
      <c r="A68" s="81">
        <v>2439</v>
      </c>
      <c r="B68" s="72" t="s">
        <v>218</v>
      </c>
      <c r="C68" s="71" t="s">
        <v>161</v>
      </c>
      <c r="D68" s="73">
        <v>0.64159999999999995</v>
      </c>
      <c r="E68" s="74">
        <v>7.58</v>
      </c>
      <c r="F68" s="74">
        <f t="shared" si="3"/>
        <v>4.8633280000000001</v>
      </c>
    </row>
    <row r="69" spans="1:6" x14ac:dyDescent="0.2">
      <c r="A69" s="81">
        <v>2438</v>
      </c>
      <c r="B69" s="72" t="s">
        <v>219</v>
      </c>
      <c r="C69" s="71" t="s">
        <v>161</v>
      </c>
      <c r="D69" s="73">
        <v>3.9708000000000001</v>
      </c>
      <c r="E69" s="74">
        <v>7.88</v>
      </c>
      <c r="F69" s="74">
        <f t="shared" si="3"/>
        <v>31.289904</v>
      </c>
    </row>
    <row r="70" spans="1:6" x14ac:dyDescent="0.2">
      <c r="A70" s="81">
        <v>2448</v>
      </c>
      <c r="B70" s="72" t="s">
        <v>220</v>
      </c>
      <c r="C70" s="71" t="s">
        <v>161</v>
      </c>
      <c r="D70" s="73">
        <v>1.1134999999999999</v>
      </c>
      <c r="E70" s="74">
        <v>9.2200000000000006</v>
      </c>
      <c r="F70" s="74">
        <f t="shared" si="3"/>
        <v>10.26647</v>
      </c>
    </row>
    <row r="71" spans="1:6" x14ac:dyDescent="0.2">
      <c r="A71" s="81">
        <v>102</v>
      </c>
      <c r="B71" s="72" t="s">
        <v>221</v>
      </c>
      <c r="C71" s="71" t="s">
        <v>161</v>
      </c>
      <c r="D71" s="73">
        <v>0.20480000000000001</v>
      </c>
      <c r="E71" s="74">
        <v>22.63</v>
      </c>
      <c r="F71" s="74">
        <f t="shared" si="3"/>
        <v>4.6346239999999996</v>
      </c>
    </row>
    <row r="72" spans="1:6" x14ac:dyDescent="0.2">
      <c r="A72" s="81">
        <v>105</v>
      </c>
      <c r="B72" s="72" t="s">
        <v>222</v>
      </c>
      <c r="C72" s="71" t="s">
        <v>161</v>
      </c>
      <c r="D72" s="73">
        <v>3.2599999999999997E-2</v>
      </c>
      <c r="E72" s="74">
        <v>22.63</v>
      </c>
      <c r="F72" s="74">
        <f t="shared" si="3"/>
        <v>0.73773799999999989</v>
      </c>
    </row>
    <row r="73" spans="1:6" x14ac:dyDescent="0.2">
      <c r="A73" s="218" t="s">
        <v>162</v>
      </c>
      <c r="B73" s="218"/>
      <c r="C73" s="218"/>
      <c r="D73" s="218"/>
      <c r="E73" s="218"/>
      <c r="F73" s="218"/>
    </row>
  </sheetData>
  <mergeCells count="12">
    <mergeCell ref="A1:F5"/>
    <mergeCell ref="B6:C6"/>
    <mergeCell ref="B9:C9"/>
    <mergeCell ref="A11:F11"/>
    <mergeCell ref="B8:C8"/>
    <mergeCell ref="A73:F73"/>
    <mergeCell ref="A12:F12"/>
    <mergeCell ref="A20:F20"/>
    <mergeCell ref="A31:F31"/>
    <mergeCell ref="A32:F32"/>
    <mergeCell ref="A41:F41"/>
    <mergeCell ref="A42:F42"/>
  </mergeCells>
  <pageMargins left="0.511811024" right="0.511811024" top="0.78740157499999996" bottom="0.78740157499999996" header="0.31496062000000002" footer="0.31496062000000002"/>
  <pageSetup paperSize="9" scale="4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37" workbookViewId="0">
      <selection activeCell="Q18" sqref="Q18"/>
    </sheetView>
  </sheetViews>
  <sheetFormatPr defaultRowHeight="14.25" x14ac:dyDescent="0.2"/>
  <cols>
    <col min="1" max="1" width="14.125" customWidth="1"/>
    <col min="2" max="2" width="47.875" customWidth="1"/>
    <col min="4" max="4" width="15.25" customWidth="1"/>
  </cols>
  <sheetData>
    <row r="1" spans="1:4" s="2" customFormat="1" x14ac:dyDescent="0.2">
      <c r="A1" s="225" t="s">
        <v>117</v>
      </c>
      <c r="B1" s="226"/>
      <c r="C1" s="226"/>
      <c r="D1" s="227"/>
    </row>
    <row r="2" spans="1:4" s="2" customFormat="1" ht="15.75" customHeight="1" x14ac:dyDescent="0.2">
      <c r="A2" s="228"/>
      <c r="B2" s="229"/>
      <c r="C2" s="229"/>
      <c r="D2" s="230"/>
    </row>
    <row r="3" spans="1:4" s="2" customFormat="1" ht="15" customHeight="1" x14ac:dyDescent="0.2">
      <c r="A3" s="228"/>
      <c r="B3" s="229"/>
      <c r="C3" s="229"/>
      <c r="D3" s="230"/>
    </row>
    <row r="4" spans="1:4" s="2" customFormat="1" ht="15.75" customHeight="1" x14ac:dyDescent="0.2">
      <c r="A4" s="228"/>
      <c r="B4" s="229"/>
      <c r="C4" s="229"/>
      <c r="D4" s="230"/>
    </row>
    <row r="5" spans="1:4" s="2" customFormat="1" ht="27.75" customHeight="1" thickBot="1" x14ac:dyDescent="0.25">
      <c r="A5" s="231"/>
      <c r="B5" s="232"/>
      <c r="C5" s="232"/>
      <c r="D5" s="233"/>
    </row>
    <row r="6" spans="1:4" s="2" customFormat="1" ht="15" customHeight="1" x14ac:dyDescent="0.2">
      <c r="A6" s="32" t="s">
        <v>108</v>
      </c>
      <c r="B6" s="170" t="s">
        <v>279</v>
      </c>
      <c r="C6" s="174" t="s">
        <v>109</v>
      </c>
      <c r="D6" s="23">
        <v>0.2223</v>
      </c>
    </row>
    <row r="7" spans="1:4" s="2" customFormat="1" ht="31.5" customHeight="1" x14ac:dyDescent="0.2">
      <c r="A7" s="32" t="s">
        <v>110</v>
      </c>
      <c r="B7" s="169" t="s">
        <v>280</v>
      </c>
      <c r="C7" s="175" t="s">
        <v>111</v>
      </c>
      <c r="D7" s="25"/>
    </row>
    <row r="8" spans="1:4" s="2" customFormat="1" ht="25.5" customHeight="1" x14ac:dyDescent="0.2">
      <c r="A8" s="32" t="s">
        <v>112</v>
      </c>
      <c r="B8" s="169" t="s">
        <v>278</v>
      </c>
      <c r="C8" s="175" t="s">
        <v>113</v>
      </c>
      <c r="D8" s="26"/>
    </row>
    <row r="9" spans="1:4" s="2" customFormat="1" ht="15.75" x14ac:dyDescent="0.2">
      <c r="A9" s="32" t="s">
        <v>114</v>
      </c>
      <c r="B9" s="27" t="s">
        <v>176</v>
      </c>
      <c r="C9" s="176" t="s">
        <v>115</v>
      </c>
      <c r="D9" s="171"/>
    </row>
    <row r="10" spans="1:4" ht="15" x14ac:dyDescent="0.25">
      <c r="A10" s="32" t="s">
        <v>304</v>
      </c>
      <c r="B10" s="188" t="s">
        <v>305</v>
      </c>
      <c r="C10" s="181" t="s">
        <v>308</v>
      </c>
      <c r="D10" s="193">
        <v>44593</v>
      </c>
    </row>
    <row r="11" spans="1:4" x14ac:dyDescent="0.2">
      <c r="A11" s="32" t="s">
        <v>307</v>
      </c>
      <c r="B11" s="181" t="s">
        <v>278</v>
      </c>
      <c r="C11" s="181"/>
      <c r="D11" s="183"/>
    </row>
    <row r="12" spans="1:4" ht="15" thickBot="1" x14ac:dyDescent="0.25">
      <c r="A12" s="182"/>
      <c r="B12" s="181"/>
      <c r="C12" s="181"/>
      <c r="D12" s="183"/>
    </row>
    <row r="13" spans="1:4" ht="16.5" thickBot="1" x14ac:dyDescent="0.3">
      <c r="A13" s="252" t="s">
        <v>306</v>
      </c>
      <c r="B13" s="253"/>
      <c r="C13" s="253"/>
      <c r="D13" s="254"/>
    </row>
    <row r="14" spans="1:4" ht="15.75" thickBot="1" x14ac:dyDescent="0.3">
      <c r="A14" s="172" t="s">
        <v>284</v>
      </c>
      <c r="B14" s="173" t="s">
        <v>309</v>
      </c>
      <c r="C14" s="255" t="s">
        <v>310</v>
      </c>
      <c r="D14" s="256"/>
    </row>
    <row r="15" spans="1:4" ht="15.75" thickBot="1" x14ac:dyDescent="0.3">
      <c r="A15" s="180" t="s">
        <v>311</v>
      </c>
      <c r="B15" s="177" t="s">
        <v>312</v>
      </c>
      <c r="C15" s="248">
        <f>SUM(C16:C19)</f>
        <v>7.3000000000000009E-2</v>
      </c>
      <c r="D15" s="249"/>
    </row>
    <row r="16" spans="1:4" x14ac:dyDescent="0.2">
      <c r="A16" s="184" t="s">
        <v>313</v>
      </c>
      <c r="B16" s="185" t="s">
        <v>314</v>
      </c>
      <c r="C16" s="250">
        <v>0.04</v>
      </c>
      <c r="D16" s="251"/>
    </row>
    <row r="17" spans="1:4" x14ac:dyDescent="0.2">
      <c r="A17" s="184" t="s">
        <v>315</v>
      </c>
      <c r="B17" s="185" t="s">
        <v>316</v>
      </c>
      <c r="C17" s="250">
        <v>8.0000000000000002E-3</v>
      </c>
      <c r="D17" s="251"/>
    </row>
    <row r="18" spans="1:4" x14ac:dyDescent="0.2">
      <c r="A18" s="184" t="s">
        <v>317</v>
      </c>
      <c r="B18" s="185" t="s">
        <v>330</v>
      </c>
      <c r="C18" s="250">
        <v>1.2699999999999999E-2</v>
      </c>
      <c r="D18" s="251"/>
    </row>
    <row r="19" spans="1:4" ht="15" thickBot="1" x14ac:dyDescent="0.25">
      <c r="A19" s="184" t="s">
        <v>318</v>
      </c>
      <c r="B19" s="185" t="s">
        <v>319</v>
      </c>
      <c r="C19" s="250">
        <v>1.23E-2</v>
      </c>
      <c r="D19" s="251"/>
    </row>
    <row r="20" spans="1:4" ht="15.75" thickBot="1" x14ac:dyDescent="0.3">
      <c r="A20" s="180" t="s">
        <v>321</v>
      </c>
      <c r="B20" s="178" t="s">
        <v>320</v>
      </c>
      <c r="C20" s="248">
        <f>SUM(C21:C24)</f>
        <v>5.6499999999999995E-2</v>
      </c>
      <c r="D20" s="249"/>
    </row>
    <row r="21" spans="1:4" x14ac:dyDescent="0.2">
      <c r="A21" s="186" t="s">
        <v>75</v>
      </c>
      <c r="B21" s="179" t="s">
        <v>322</v>
      </c>
      <c r="C21" s="236">
        <v>6.4999999999999997E-3</v>
      </c>
      <c r="D21" s="237"/>
    </row>
    <row r="22" spans="1:4" x14ac:dyDescent="0.2">
      <c r="A22" s="186" t="s">
        <v>76</v>
      </c>
      <c r="B22" s="179" t="s">
        <v>323</v>
      </c>
      <c r="C22" s="236">
        <v>0.03</v>
      </c>
      <c r="D22" s="237"/>
    </row>
    <row r="23" spans="1:4" x14ac:dyDescent="0.2">
      <c r="A23" s="186" t="s">
        <v>77</v>
      </c>
      <c r="B23" s="179" t="s">
        <v>324</v>
      </c>
      <c r="C23" s="236">
        <v>0.02</v>
      </c>
      <c r="D23" s="237"/>
    </row>
    <row r="24" spans="1:4" ht="15" thickBot="1" x14ac:dyDescent="0.25">
      <c r="A24" s="186" t="s">
        <v>274</v>
      </c>
      <c r="B24" s="179" t="s">
        <v>325</v>
      </c>
      <c r="C24" s="236">
        <v>0</v>
      </c>
      <c r="D24" s="237"/>
    </row>
    <row r="25" spans="1:4" ht="15.75" thickBot="1" x14ac:dyDescent="0.3">
      <c r="A25" s="180" t="s">
        <v>326</v>
      </c>
      <c r="B25" s="177" t="s">
        <v>327</v>
      </c>
      <c r="C25" s="248">
        <v>7.3999999999999996E-2</v>
      </c>
      <c r="D25" s="249"/>
    </row>
    <row r="26" spans="1:4" ht="15" thickBot="1" x14ac:dyDescent="0.25">
      <c r="A26" s="186" t="s">
        <v>78</v>
      </c>
      <c r="B26" s="179" t="s">
        <v>328</v>
      </c>
      <c r="C26" s="236">
        <v>7.3999999999999996E-2</v>
      </c>
      <c r="D26" s="237"/>
    </row>
    <row r="27" spans="1:4" ht="16.5" thickBot="1" x14ac:dyDescent="0.3">
      <c r="A27" s="243" t="s">
        <v>329</v>
      </c>
      <c r="B27" s="244"/>
      <c r="C27" s="238">
        <f>((1+C16+C17+C18+C24)*(1+C19)*(1+C25)/(1-C20))-1</f>
        <v>0.22226164190779008</v>
      </c>
      <c r="D27" s="239"/>
    </row>
    <row r="28" spans="1:4" x14ac:dyDescent="0.2">
      <c r="A28" s="240" t="s">
        <v>331</v>
      </c>
      <c r="B28" s="241"/>
      <c r="C28" s="241"/>
      <c r="D28" s="242"/>
    </row>
    <row r="29" spans="1:4" x14ac:dyDescent="0.2">
      <c r="A29" s="182" t="s">
        <v>332</v>
      </c>
      <c r="B29" s="181"/>
      <c r="C29" s="181"/>
      <c r="D29" s="183"/>
    </row>
    <row r="30" spans="1:4" x14ac:dyDescent="0.2">
      <c r="A30" s="182" t="s">
        <v>333</v>
      </c>
      <c r="B30" s="181" t="s">
        <v>339</v>
      </c>
      <c r="C30" s="181"/>
      <c r="D30" s="183"/>
    </row>
    <row r="31" spans="1:4" x14ac:dyDescent="0.2">
      <c r="A31" s="182" t="s">
        <v>334</v>
      </c>
      <c r="B31" s="181" t="s">
        <v>344</v>
      </c>
      <c r="C31" s="181"/>
      <c r="D31" s="183"/>
    </row>
    <row r="32" spans="1:4" x14ac:dyDescent="0.2">
      <c r="A32" s="182" t="s">
        <v>335</v>
      </c>
      <c r="B32" s="181" t="s">
        <v>336</v>
      </c>
      <c r="C32" s="181"/>
      <c r="D32" s="183"/>
    </row>
    <row r="33" spans="1:4" x14ac:dyDescent="0.2">
      <c r="A33" s="182" t="s">
        <v>337</v>
      </c>
      <c r="B33" s="181" t="s">
        <v>338</v>
      </c>
      <c r="C33" s="181"/>
      <c r="D33" s="183"/>
    </row>
    <row r="34" spans="1:4" x14ac:dyDescent="0.2">
      <c r="A34" s="182" t="s">
        <v>340</v>
      </c>
      <c r="B34" s="181" t="s">
        <v>341</v>
      </c>
      <c r="C34" s="181"/>
      <c r="D34" s="183"/>
    </row>
    <row r="35" spans="1:4" x14ac:dyDescent="0.2">
      <c r="A35" s="182" t="s">
        <v>342</v>
      </c>
      <c r="B35" s="181" t="s">
        <v>343</v>
      </c>
      <c r="C35" s="181"/>
      <c r="D35" s="183"/>
    </row>
    <row r="36" spans="1:4" x14ac:dyDescent="0.2">
      <c r="A36" s="182"/>
      <c r="B36" s="181"/>
      <c r="C36" s="181"/>
      <c r="D36" s="183"/>
    </row>
    <row r="37" spans="1:4" ht="14.25" customHeight="1" x14ac:dyDescent="0.25">
      <c r="A37" s="245" t="s">
        <v>345</v>
      </c>
      <c r="B37" s="246"/>
      <c r="C37" s="246"/>
      <c r="D37" s="247"/>
    </row>
    <row r="38" spans="1:4" x14ac:dyDescent="0.2">
      <c r="A38" s="182"/>
      <c r="B38" s="181"/>
      <c r="C38" s="181"/>
      <c r="D38" s="183"/>
    </row>
    <row r="39" spans="1:4" x14ac:dyDescent="0.2">
      <c r="A39" s="182" t="s">
        <v>346</v>
      </c>
      <c r="B39" s="181"/>
      <c r="C39" s="181"/>
      <c r="D39" s="183"/>
    </row>
    <row r="40" spans="1:4" x14ac:dyDescent="0.2">
      <c r="A40" s="182" t="s">
        <v>347</v>
      </c>
      <c r="B40" s="181"/>
      <c r="C40" s="181"/>
      <c r="D40" s="183"/>
    </row>
    <row r="41" spans="1:4" x14ac:dyDescent="0.2">
      <c r="A41" s="182"/>
      <c r="B41" s="181"/>
      <c r="C41" s="181"/>
      <c r="D41" s="183"/>
    </row>
    <row r="42" spans="1:4" ht="15" x14ac:dyDescent="0.25">
      <c r="A42" s="187" t="s">
        <v>324</v>
      </c>
      <c r="B42" s="181"/>
      <c r="C42" s="181"/>
      <c r="D42" s="183"/>
    </row>
    <row r="43" spans="1:4" x14ac:dyDescent="0.2">
      <c r="A43" s="182" t="s">
        <v>348</v>
      </c>
      <c r="B43" s="181"/>
      <c r="C43" s="181"/>
      <c r="D43" s="183"/>
    </row>
    <row r="44" spans="1:4" x14ac:dyDescent="0.2">
      <c r="A44" s="182" t="s">
        <v>349</v>
      </c>
      <c r="B44" s="181"/>
      <c r="C44" s="181"/>
      <c r="D44" s="183"/>
    </row>
    <row r="45" spans="1:4" x14ac:dyDescent="0.2">
      <c r="A45" s="182"/>
      <c r="B45" s="181"/>
      <c r="C45" s="181"/>
      <c r="D45" s="183"/>
    </row>
    <row r="46" spans="1:4" x14ac:dyDescent="0.2">
      <c r="A46" s="182" t="s">
        <v>350</v>
      </c>
      <c r="B46" s="181"/>
      <c r="C46" s="181"/>
      <c r="D46" s="183"/>
    </row>
    <row r="47" spans="1:4" x14ac:dyDescent="0.2">
      <c r="A47" s="182"/>
      <c r="B47" s="181"/>
      <c r="C47" s="181"/>
      <c r="D47" s="183"/>
    </row>
    <row r="48" spans="1:4" x14ac:dyDescent="0.2">
      <c r="A48" s="182" t="s">
        <v>351</v>
      </c>
      <c r="B48" s="181"/>
      <c r="C48" s="181"/>
      <c r="D48" s="183"/>
    </row>
    <row r="49" spans="1:4" x14ac:dyDescent="0.2">
      <c r="A49" s="182" t="s">
        <v>352</v>
      </c>
      <c r="B49" s="181"/>
      <c r="C49" s="181"/>
      <c r="D49" s="183"/>
    </row>
    <row r="50" spans="1:4" x14ac:dyDescent="0.2">
      <c r="A50" s="182"/>
      <c r="B50" s="181"/>
      <c r="C50" s="181"/>
      <c r="D50" s="183"/>
    </row>
    <row r="51" spans="1:4" x14ac:dyDescent="0.2">
      <c r="A51" s="182" t="s">
        <v>353</v>
      </c>
      <c r="B51" s="181"/>
      <c r="C51" s="181"/>
      <c r="D51" s="183"/>
    </row>
    <row r="52" spans="1:4" x14ac:dyDescent="0.2">
      <c r="A52" s="182" t="s">
        <v>354</v>
      </c>
      <c r="B52" s="181"/>
      <c r="C52" s="181"/>
      <c r="D52" s="183"/>
    </row>
    <row r="53" spans="1:4" x14ac:dyDescent="0.2">
      <c r="A53" s="182"/>
      <c r="B53" s="181"/>
      <c r="C53" s="181"/>
      <c r="D53" s="183"/>
    </row>
    <row r="54" spans="1:4" x14ac:dyDescent="0.2">
      <c r="A54" s="182" t="s">
        <v>355</v>
      </c>
      <c r="B54" s="181"/>
      <c r="C54" s="181"/>
      <c r="D54" s="183"/>
    </row>
    <row r="55" spans="1:4" x14ac:dyDescent="0.2">
      <c r="A55" s="182" t="s">
        <v>356</v>
      </c>
      <c r="B55" s="181"/>
      <c r="C55" s="181"/>
      <c r="D55" s="183"/>
    </row>
    <row r="56" spans="1:4" x14ac:dyDescent="0.2">
      <c r="A56" s="182"/>
      <c r="B56" s="181"/>
      <c r="C56" s="181"/>
      <c r="D56" s="183"/>
    </row>
    <row r="57" spans="1:4" x14ac:dyDescent="0.2">
      <c r="A57" s="182" t="s">
        <v>332</v>
      </c>
      <c r="B57" s="181"/>
      <c r="C57" s="181"/>
      <c r="D57" s="183"/>
    </row>
    <row r="58" spans="1:4" x14ac:dyDescent="0.2">
      <c r="A58" s="182" t="s">
        <v>357</v>
      </c>
      <c r="B58" s="181"/>
      <c r="C58" s="181"/>
      <c r="D58" s="183"/>
    </row>
    <row r="59" spans="1:4" x14ac:dyDescent="0.2">
      <c r="A59" s="182" t="s">
        <v>358</v>
      </c>
      <c r="B59" s="181"/>
      <c r="C59" s="181"/>
      <c r="D59" s="183"/>
    </row>
    <row r="60" spans="1:4" x14ac:dyDescent="0.2">
      <c r="A60" s="182" t="s">
        <v>359</v>
      </c>
      <c r="B60" s="181"/>
      <c r="C60" s="181"/>
      <c r="D60" s="183"/>
    </row>
    <row r="61" spans="1:4" x14ac:dyDescent="0.2">
      <c r="A61" s="182"/>
      <c r="B61" s="181"/>
      <c r="C61" s="181"/>
      <c r="D61" s="183"/>
    </row>
    <row r="62" spans="1:4" ht="15" x14ac:dyDescent="0.25">
      <c r="A62" s="187" t="s">
        <v>360</v>
      </c>
      <c r="B62" s="188"/>
      <c r="C62" s="181"/>
      <c r="D62" s="183"/>
    </row>
    <row r="63" spans="1:4" x14ac:dyDescent="0.2">
      <c r="A63" s="182"/>
      <c r="B63" s="181"/>
      <c r="C63" s="181"/>
      <c r="D63" s="183"/>
    </row>
    <row r="64" spans="1:4" x14ac:dyDescent="0.2">
      <c r="A64" s="182"/>
      <c r="B64" s="181"/>
      <c r="C64" s="181"/>
      <c r="D64" s="183"/>
    </row>
    <row r="65" spans="1:4" ht="15" x14ac:dyDescent="0.25">
      <c r="A65" s="182"/>
      <c r="B65" s="192" t="s">
        <v>361</v>
      </c>
      <c r="C65" s="181"/>
      <c r="D65" s="183"/>
    </row>
    <row r="66" spans="1:4" x14ac:dyDescent="0.2">
      <c r="A66" s="182"/>
      <c r="B66" s="185" t="s">
        <v>362</v>
      </c>
      <c r="C66" s="181"/>
      <c r="D66" s="183"/>
    </row>
    <row r="67" spans="1:4" x14ac:dyDescent="0.2">
      <c r="A67" s="182"/>
      <c r="B67" s="185" t="s">
        <v>363</v>
      </c>
      <c r="C67" s="181"/>
      <c r="D67" s="183"/>
    </row>
    <row r="68" spans="1:4" x14ac:dyDescent="0.2">
      <c r="A68" s="182"/>
      <c r="B68" s="181"/>
      <c r="C68" s="181"/>
      <c r="D68" s="183"/>
    </row>
    <row r="69" spans="1:4" x14ac:dyDescent="0.2">
      <c r="A69" s="182"/>
      <c r="B69" s="181"/>
      <c r="C69" s="181"/>
      <c r="D69" s="183"/>
    </row>
    <row r="70" spans="1:4" ht="15" thickBot="1" x14ac:dyDescent="0.25">
      <c r="A70" s="189"/>
      <c r="B70" s="190"/>
      <c r="C70" s="190"/>
      <c r="D70" s="191"/>
    </row>
    <row r="71" spans="1:4" x14ac:dyDescent="0.2">
      <c r="B71" s="2"/>
    </row>
    <row r="72" spans="1:4" x14ac:dyDescent="0.2">
      <c r="B72" s="2"/>
    </row>
    <row r="73" spans="1:4" x14ac:dyDescent="0.2">
      <c r="B73" s="2"/>
    </row>
    <row r="74" spans="1:4" x14ac:dyDescent="0.2">
      <c r="B74" s="2"/>
    </row>
    <row r="75" spans="1:4" x14ac:dyDescent="0.2">
      <c r="B75" s="2"/>
    </row>
  </sheetData>
  <mergeCells count="19">
    <mergeCell ref="A1:D5"/>
    <mergeCell ref="A13:D13"/>
    <mergeCell ref="C14:D14"/>
    <mergeCell ref="C25:D25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0:D20"/>
    <mergeCell ref="C26:D26"/>
    <mergeCell ref="C27:D27"/>
    <mergeCell ref="A28:D28"/>
    <mergeCell ref="A27:B27"/>
    <mergeCell ref="A37:D3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34" sqref="C34"/>
    </sheetView>
  </sheetViews>
  <sheetFormatPr defaultRowHeight="14.25" x14ac:dyDescent="0.2"/>
  <cols>
    <col min="1" max="1" width="11.375" customWidth="1"/>
    <col min="2" max="2" width="28.125" customWidth="1"/>
    <col min="3" max="3" width="14.75" customWidth="1"/>
    <col min="4" max="4" width="9.25" bestFit="1" customWidth="1"/>
    <col min="5" max="5" width="10.625" bestFit="1" customWidth="1"/>
    <col min="6" max="6" width="12" customWidth="1"/>
  </cols>
  <sheetData>
    <row r="1" spans="1:6" x14ac:dyDescent="0.2">
      <c r="A1" s="225" t="s">
        <v>117</v>
      </c>
      <c r="B1" s="226"/>
      <c r="C1" s="226"/>
      <c r="D1" s="226"/>
      <c r="E1" s="226"/>
      <c r="F1" s="227"/>
    </row>
    <row r="2" spans="1:6" x14ac:dyDescent="0.2">
      <c r="A2" s="228"/>
      <c r="B2" s="229"/>
      <c r="C2" s="229"/>
      <c r="D2" s="229"/>
      <c r="E2" s="229"/>
      <c r="F2" s="230"/>
    </row>
    <row r="3" spans="1:6" x14ac:dyDescent="0.2">
      <c r="A3" s="228"/>
      <c r="B3" s="229"/>
      <c r="C3" s="229"/>
      <c r="D3" s="229"/>
      <c r="E3" s="229"/>
      <c r="F3" s="230"/>
    </row>
    <row r="4" spans="1:6" x14ac:dyDescent="0.2">
      <c r="A4" s="228"/>
      <c r="B4" s="229"/>
      <c r="C4" s="229"/>
      <c r="D4" s="229"/>
      <c r="E4" s="229"/>
      <c r="F4" s="230"/>
    </row>
    <row r="5" spans="1:6" ht="15" thickBot="1" x14ac:dyDescent="0.25">
      <c r="A5" s="231"/>
      <c r="B5" s="232"/>
      <c r="C5" s="232"/>
      <c r="D5" s="232"/>
      <c r="E5" s="232"/>
      <c r="F5" s="233"/>
    </row>
    <row r="6" spans="1:6" ht="15.75" x14ac:dyDescent="0.2">
      <c r="A6" s="32" t="s">
        <v>108</v>
      </c>
      <c r="B6" s="194" t="s">
        <v>279</v>
      </c>
      <c r="C6" s="194"/>
      <c r="D6" s="20"/>
      <c r="E6" s="22" t="s">
        <v>109</v>
      </c>
      <c r="F6" s="23">
        <v>0.2223</v>
      </c>
    </row>
    <row r="7" spans="1:6" ht="15.75" x14ac:dyDescent="0.2">
      <c r="A7" s="32"/>
      <c r="B7" s="2"/>
      <c r="C7" s="2"/>
      <c r="D7" s="20"/>
      <c r="E7" s="22"/>
      <c r="F7" s="23"/>
    </row>
    <row r="8" spans="1:6" ht="15.75" x14ac:dyDescent="0.2">
      <c r="A8" s="32" t="s">
        <v>110</v>
      </c>
      <c r="B8" s="194" t="s">
        <v>280</v>
      </c>
      <c r="C8" s="194"/>
      <c r="D8" s="20"/>
      <c r="E8" s="24" t="s">
        <v>111</v>
      </c>
      <c r="F8" s="25">
        <v>44691</v>
      </c>
    </row>
    <row r="9" spans="1:6" ht="15.75" x14ac:dyDescent="0.2">
      <c r="A9" s="32" t="s">
        <v>112</v>
      </c>
      <c r="B9" s="194" t="s">
        <v>278</v>
      </c>
      <c r="C9" s="194"/>
      <c r="D9" s="20"/>
      <c r="E9" s="24" t="s">
        <v>113</v>
      </c>
      <c r="F9" s="26" t="s">
        <v>125</v>
      </c>
    </row>
    <row r="10" spans="1:6" ht="16.5" thickBot="1" x14ac:dyDescent="0.25">
      <c r="A10" s="32" t="s">
        <v>114</v>
      </c>
      <c r="B10" s="27" t="s">
        <v>176</v>
      </c>
      <c r="C10" s="28"/>
      <c r="D10" s="29"/>
      <c r="E10" s="30" t="s">
        <v>115</v>
      </c>
      <c r="F10" s="94" t="s">
        <v>116</v>
      </c>
    </row>
    <row r="11" spans="1:6" ht="15.75" thickBot="1" x14ac:dyDescent="0.25">
      <c r="A11" s="234" t="s">
        <v>118</v>
      </c>
      <c r="B11" s="202"/>
      <c r="C11" s="202"/>
      <c r="D11" s="202"/>
      <c r="E11" s="202"/>
      <c r="F11" s="235"/>
    </row>
    <row r="12" spans="1:6" ht="21" thickBot="1" x14ac:dyDescent="0.35">
      <c r="A12" s="219" t="s">
        <v>135</v>
      </c>
      <c r="B12" s="213"/>
      <c r="C12" s="213"/>
      <c r="D12" s="213"/>
      <c r="E12" s="213"/>
      <c r="F12" s="220"/>
    </row>
    <row r="13" spans="1:6" x14ac:dyDescent="0.2">
      <c r="A13" s="7"/>
      <c r="B13" s="1"/>
      <c r="C13" s="1"/>
      <c r="D13" s="1"/>
      <c r="E13" s="1"/>
      <c r="F13" s="1"/>
    </row>
    <row r="14" spans="1:6" x14ac:dyDescent="0.2">
      <c r="A14" s="1"/>
      <c r="B14" s="2"/>
      <c r="C14" s="2"/>
      <c r="D14" s="2"/>
      <c r="E14" s="2"/>
      <c r="F14" s="3"/>
    </row>
    <row r="15" spans="1:6" ht="15" x14ac:dyDescent="0.2">
      <c r="A15" s="54" t="s">
        <v>119</v>
      </c>
      <c r="B15" s="55" t="s">
        <v>1</v>
      </c>
      <c r="C15" s="54" t="s">
        <v>2</v>
      </c>
      <c r="D15" s="56" t="s">
        <v>3</v>
      </c>
      <c r="E15" s="57" t="s">
        <v>136</v>
      </c>
      <c r="F15" s="57" t="s">
        <v>4</v>
      </c>
    </row>
    <row r="16" spans="1:6" ht="33.75" customHeight="1" x14ac:dyDescent="0.2">
      <c r="A16" s="95" t="s">
        <v>175</v>
      </c>
      <c r="B16" s="98" t="s">
        <v>71</v>
      </c>
      <c r="C16" s="97" t="s">
        <v>138</v>
      </c>
      <c r="D16" s="96">
        <v>1</v>
      </c>
      <c r="E16" s="102">
        <v>290</v>
      </c>
      <c r="F16" s="102">
        <f>E16</f>
        <v>290</v>
      </c>
    </row>
    <row r="17" spans="1:6" s="2" customFormat="1" ht="33.75" customHeight="1" x14ac:dyDescent="0.2">
      <c r="A17" s="99"/>
      <c r="B17" s="100" t="s">
        <v>271</v>
      </c>
      <c r="C17" s="99" t="s">
        <v>138</v>
      </c>
      <c r="D17" s="101">
        <v>1</v>
      </c>
      <c r="E17" s="103">
        <v>290</v>
      </c>
      <c r="F17" s="103">
        <v>290</v>
      </c>
    </row>
    <row r="18" spans="1:6" x14ac:dyDescent="0.2">
      <c r="A18" s="66" t="s">
        <v>143</v>
      </c>
      <c r="B18" s="67"/>
      <c r="C18" s="67"/>
      <c r="D18" s="67"/>
      <c r="E18" s="68"/>
      <c r="F18" s="69"/>
    </row>
    <row r="19" spans="1:6" x14ac:dyDescent="0.2">
      <c r="A19" s="221"/>
      <c r="B19" s="222"/>
      <c r="C19" s="222"/>
      <c r="D19" s="222"/>
      <c r="E19" s="222"/>
      <c r="F19" s="223"/>
    </row>
    <row r="20" spans="1:6" ht="15" x14ac:dyDescent="0.2">
      <c r="A20" s="54" t="s">
        <v>119</v>
      </c>
      <c r="B20" s="55" t="s">
        <v>1</v>
      </c>
      <c r="C20" s="54" t="s">
        <v>2</v>
      </c>
      <c r="D20" s="56" t="s">
        <v>3</v>
      </c>
      <c r="E20" s="57" t="s">
        <v>136</v>
      </c>
      <c r="F20" s="57" t="s">
        <v>4</v>
      </c>
    </row>
    <row r="21" spans="1:6" ht="15.75" customHeight="1" x14ac:dyDescent="0.2">
      <c r="A21" s="95" t="s">
        <v>264</v>
      </c>
      <c r="B21" s="98" t="s">
        <v>266</v>
      </c>
      <c r="C21" s="95" t="s">
        <v>138</v>
      </c>
      <c r="D21" s="96">
        <v>1</v>
      </c>
      <c r="E21" s="102">
        <f>F22</f>
        <v>2280</v>
      </c>
      <c r="F21" s="102">
        <f>E21</f>
        <v>2280</v>
      </c>
    </row>
    <row r="22" spans="1:6" ht="38.25" x14ac:dyDescent="0.2">
      <c r="A22" s="104"/>
      <c r="B22" s="100" t="s">
        <v>270</v>
      </c>
      <c r="C22" s="104" t="s">
        <v>138</v>
      </c>
      <c r="D22" s="105">
        <v>1</v>
      </c>
      <c r="E22" s="106">
        <v>2280</v>
      </c>
      <c r="F22" s="106">
        <f>E22*D22</f>
        <v>2280</v>
      </c>
    </row>
    <row r="23" spans="1:6" x14ac:dyDescent="0.2">
      <c r="A23" s="66" t="s">
        <v>143</v>
      </c>
      <c r="B23" s="67"/>
      <c r="C23" s="67"/>
      <c r="D23" s="67"/>
      <c r="E23" s="68"/>
      <c r="F23" s="69"/>
    </row>
    <row r="24" spans="1:6" x14ac:dyDescent="0.2">
      <c r="A24" s="221"/>
      <c r="B24" s="222"/>
      <c r="C24" s="222"/>
      <c r="D24" s="222"/>
      <c r="E24" s="222"/>
      <c r="F24" s="223"/>
    </row>
  </sheetData>
  <mergeCells count="8">
    <mergeCell ref="A19:F19"/>
    <mergeCell ref="A24:F24"/>
    <mergeCell ref="A1:F5"/>
    <mergeCell ref="B6:C6"/>
    <mergeCell ref="B8:C8"/>
    <mergeCell ref="B9:C9"/>
    <mergeCell ref="A11:F11"/>
    <mergeCell ref="A12:F12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5" workbookViewId="0">
      <selection activeCell="D25" sqref="D25"/>
    </sheetView>
  </sheetViews>
  <sheetFormatPr defaultRowHeight="14.25" x14ac:dyDescent="0.2"/>
  <cols>
    <col min="1" max="1" width="13.75" style="109" customWidth="1"/>
    <col min="2" max="2" width="15.75" style="109" customWidth="1"/>
    <col min="3" max="3" width="36.125" style="109" customWidth="1"/>
    <col min="4" max="4" width="19.125" style="109" customWidth="1"/>
    <col min="5" max="5" width="9" style="109" customWidth="1"/>
    <col min="6" max="6" width="11.375" style="109" bestFit="1" customWidth="1"/>
    <col min="7" max="7" width="9" style="109" bestFit="1" customWidth="1"/>
    <col min="8" max="8" width="12.5" style="109" bestFit="1" customWidth="1"/>
    <col min="9" max="9" width="9" style="109" bestFit="1" customWidth="1"/>
    <col min="10" max="10" width="11.125" style="109" customWidth="1"/>
    <col min="11" max="11" width="9.625" style="109" bestFit="1" customWidth="1"/>
    <col min="12" max="12" width="11" style="109" customWidth="1"/>
    <col min="13" max="13" width="9" style="109"/>
    <col min="14" max="14" width="27" style="109" customWidth="1"/>
    <col min="15" max="16384" width="9" style="109"/>
  </cols>
  <sheetData>
    <row r="1" spans="2:12" ht="15" thickBot="1" x14ac:dyDescent="0.25"/>
    <row r="2" spans="2:12" ht="23.25" x14ac:dyDescent="0.2"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3"/>
    </row>
    <row r="3" spans="2:12" x14ac:dyDescent="0.2">
      <c r="B3" s="269" t="s">
        <v>281</v>
      </c>
      <c r="C3" s="270"/>
      <c r="D3" s="270"/>
      <c r="E3" s="270"/>
      <c r="F3" s="270"/>
      <c r="G3" s="270"/>
      <c r="H3" s="270"/>
      <c r="I3" s="270"/>
      <c r="J3" s="270"/>
      <c r="K3" s="270"/>
      <c r="L3" s="271"/>
    </row>
    <row r="4" spans="2:12" x14ac:dyDescent="0.2">
      <c r="B4" s="269" t="s">
        <v>295</v>
      </c>
      <c r="C4" s="270"/>
      <c r="D4" s="270"/>
      <c r="E4" s="270"/>
      <c r="F4" s="270"/>
      <c r="G4" s="270"/>
      <c r="H4" s="270"/>
      <c r="I4" s="270"/>
      <c r="J4" s="270"/>
      <c r="K4" s="270"/>
      <c r="L4" s="271"/>
    </row>
    <row r="5" spans="2:12" x14ac:dyDescent="0.2">
      <c r="B5" s="269" t="s">
        <v>296</v>
      </c>
      <c r="C5" s="270"/>
      <c r="D5" s="270"/>
      <c r="E5" s="270"/>
      <c r="F5" s="270"/>
      <c r="G5" s="270"/>
      <c r="H5" s="270"/>
      <c r="I5" s="270"/>
      <c r="J5" s="270"/>
      <c r="K5" s="270"/>
      <c r="L5" s="271"/>
    </row>
    <row r="6" spans="2:12" x14ac:dyDescent="0.2">
      <c r="B6" s="269" t="s">
        <v>297</v>
      </c>
      <c r="C6" s="270"/>
      <c r="D6" s="270"/>
      <c r="E6" s="270"/>
      <c r="F6" s="270"/>
      <c r="G6" s="270"/>
      <c r="H6" s="270"/>
      <c r="I6" s="270"/>
      <c r="J6" s="270"/>
      <c r="K6" s="270"/>
      <c r="L6" s="271"/>
    </row>
    <row r="7" spans="2:12" x14ac:dyDescent="0.2">
      <c r="B7" s="269" t="s">
        <v>298</v>
      </c>
      <c r="C7" s="270"/>
      <c r="D7" s="270"/>
      <c r="E7" s="270"/>
      <c r="F7" s="270"/>
      <c r="G7" s="270"/>
      <c r="H7" s="270"/>
      <c r="I7" s="270"/>
      <c r="J7" s="270"/>
      <c r="K7" s="270"/>
      <c r="L7" s="271"/>
    </row>
    <row r="8" spans="2:12" ht="13.5" customHeight="1" x14ac:dyDescent="0.2">
      <c r="B8" s="114"/>
      <c r="C8" s="115"/>
      <c r="D8" s="116"/>
      <c r="E8" s="116"/>
      <c r="F8" s="116"/>
      <c r="G8" s="116"/>
      <c r="H8" s="116"/>
      <c r="I8" s="116"/>
      <c r="J8" s="116"/>
      <c r="K8" s="116"/>
      <c r="L8" s="117"/>
    </row>
    <row r="9" spans="2:12" ht="15.75" x14ac:dyDescent="0.2">
      <c r="B9" s="118" t="s">
        <v>282</v>
      </c>
      <c r="C9" s="119"/>
      <c r="D9" s="120"/>
      <c r="E9" s="120"/>
      <c r="F9" s="120"/>
      <c r="G9" s="120"/>
      <c r="H9" s="120"/>
      <c r="I9" s="120"/>
      <c r="J9" s="120"/>
      <c r="K9" s="120"/>
      <c r="L9" s="121"/>
    </row>
    <row r="10" spans="2:12" ht="15.75" x14ac:dyDescent="0.2">
      <c r="B10" s="122" t="str">
        <f>'[1]Sintético - Sem Desonerado'!B8</f>
        <v>OBRA:</v>
      </c>
      <c r="C10" s="194" t="s">
        <v>299</v>
      </c>
      <c r="D10" s="194"/>
      <c r="E10" s="194"/>
      <c r="F10" s="194"/>
      <c r="G10" s="194"/>
      <c r="H10" s="107"/>
      <c r="I10" s="107"/>
      <c r="J10" s="107"/>
      <c r="K10" s="22" t="str">
        <f>'[1]Sintético - Sem Desonerado'!H8</f>
        <v>BDI:</v>
      </c>
      <c r="L10" s="123">
        <f>'[1]RESUMO SEM DESONERAÇÃO'!F8</f>
        <v>0.2223</v>
      </c>
    </row>
    <row r="11" spans="2:12" ht="15.75" x14ac:dyDescent="0.25">
      <c r="B11" s="122" t="str">
        <f>'[1]Sintético - Sem Desonerado'!B10</f>
        <v>ENDEREÇO:</v>
      </c>
      <c r="C11" s="194" t="str">
        <f>'[1]RESUMO SEM DESONERAÇÃO'!C10</f>
        <v>RUA C, ESQUINA COM A RUA F, CENTRO POLÍTICO ADMINISTRATIVO</v>
      </c>
      <c r="D11" s="194"/>
      <c r="E11" s="194"/>
      <c r="F11" s="194"/>
      <c r="G11" s="194"/>
      <c r="H11" s="107"/>
      <c r="I11" s="107"/>
      <c r="J11" s="107"/>
      <c r="K11" s="124"/>
      <c r="L11" s="125"/>
    </row>
    <row r="12" spans="2:12" ht="15.75" x14ac:dyDescent="0.2">
      <c r="B12" s="122" t="str">
        <f>'[1]Sintético - Sem Desonerado'!B11</f>
        <v>MUNICÍPIO:</v>
      </c>
      <c r="C12" s="194" t="str">
        <f>'[1]RESUMO SEM DESONERAÇÃO'!C11</f>
        <v>CUIABÁ - MT</v>
      </c>
      <c r="D12" s="194"/>
      <c r="E12" s="194"/>
      <c r="F12" s="194"/>
      <c r="G12" s="194"/>
      <c r="H12" s="107"/>
      <c r="I12" s="107"/>
      <c r="J12" s="107"/>
      <c r="K12" s="22" t="str">
        <f>'[1]Sintético - Sem Desonerado'!H10</f>
        <v>Data:</v>
      </c>
      <c r="L12" s="126">
        <v>44707</v>
      </c>
    </row>
    <row r="13" spans="2:12" ht="16.5" thickBot="1" x14ac:dyDescent="0.25">
      <c r="B13" s="127" t="str">
        <f>'[1]Sintético - Sem Desonerado'!B12</f>
        <v>ASSUNTO:</v>
      </c>
      <c r="C13" s="267" t="str">
        <f>'[1]RESUMO SEM DESONERAÇÃO'!C12</f>
        <v>CONSTRUÇÃO</v>
      </c>
      <c r="D13" s="267"/>
      <c r="E13" s="267"/>
      <c r="F13" s="267"/>
      <c r="G13" s="267"/>
      <c r="H13" s="128"/>
      <c r="I13" s="128"/>
      <c r="J13" s="128"/>
      <c r="K13" s="129" t="str">
        <f>'[1]Sintético - Sem Desonerado'!H12</f>
        <v>Revisão:</v>
      </c>
      <c r="L13" s="130"/>
    </row>
    <row r="14" spans="2:12" ht="16.5" thickBot="1" x14ac:dyDescent="0.25">
      <c r="B14" s="272" t="s">
        <v>300</v>
      </c>
      <c r="C14" s="273"/>
      <c r="D14" s="273"/>
      <c r="E14" s="273"/>
      <c r="F14" s="273"/>
      <c r="G14" s="273"/>
      <c r="H14" s="273"/>
      <c r="I14" s="273"/>
      <c r="J14" s="273"/>
      <c r="K14" s="273"/>
      <c r="L14" s="274"/>
    </row>
    <row r="15" spans="2:12" ht="21" thickBot="1" x14ac:dyDescent="0.25">
      <c r="B15" s="275" t="s">
        <v>283</v>
      </c>
      <c r="C15" s="276"/>
      <c r="D15" s="276"/>
      <c r="E15" s="276"/>
      <c r="F15" s="276"/>
      <c r="G15" s="276"/>
      <c r="H15" s="276"/>
      <c r="I15" s="276"/>
      <c r="J15" s="277"/>
      <c r="K15" s="277"/>
      <c r="L15" s="278"/>
    </row>
    <row r="16" spans="2:12" ht="15.75" x14ac:dyDescent="0.2">
      <c r="B16" s="279" t="s">
        <v>284</v>
      </c>
      <c r="C16" s="282" t="s">
        <v>285</v>
      </c>
      <c r="D16" s="282" t="s">
        <v>286</v>
      </c>
      <c r="E16" s="282"/>
      <c r="F16" s="285" t="s">
        <v>287</v>
      </c>
      <c r="G16" s="286"/>
      <c r="H16" s="286"/>
      <c r="I16" s="286"/>
      <c r="J16" s="286"/>
      <c r="K16" s="286"/>
      <c r="L16" s="287"/>
    </row>
    <row r="17" spans="2:14" ht="15.75" x14ac:dyDescent="0.2">
      <c r="B17" s="280"/>
      <c r="C17" s="283"/>
      <c r="D17" s="283"/>
      <c r="E17" s="283"/>
      <c r="F17" s="288" t="s">
        <v>288</v>
      </c>
      <c r="G17" s="288"/>
      <c r="H17" s="288" t="s">
        <v>289</v>
      </c>
      <c r="I17" s="288"/>
      <c r="J17" s="288" t="s">
        <v>290</v>
      </c>
      <c r="K17" s="288"/>
      <c r="L17" s="131" t="s">
        <v>4</v>
      </c>
    </row>
    <row r="18" spans="2:14" ht="15.75" x14ac:dyDescent="0.2">
      <c r="B18" s="281"/>
      <c r="C18" s="284"/>
      <c r="D18" s="132" t="s">
        <v>291</v>
      </c>
      <c r="E18" s="133" t="s">
        <v>292</v>
      </c>
      <c r="F18" s="132" t="s">
        <v>291</v>
      </c>
      <c r="G18" s="134" t="s">
        <v>292</v>
      </c>
      <c r="H18" s="132" t="s">
        <v>291</v>
      </c>
      <c r="I18" s="134" t="s">
        <v>292</v>
      </c>
      <c r="J18" s="132" t="s">
        <v>291</v>
      </c>
      <c r="K18" s="134" t="s">
        <v>292</v>
      </c>
      <c r="L18" s="135" t="s">
        <v>292</v>
      </c>
    </row>
    <row r="19" spans="2:14" ht="15.75" x14ac:dyDescent="0.25">
      <c r="B19" s="136">
        <v>1</v>
      </c>
      <c r="C19" s="137" t="str">
        <f>'[1]RESUMO SEM DESONERAÇÃO'!C17:D17</f>
        <v>ADMINISTRAÇÃO LOCAL DE OBRA</v>
      </c>
      <c r="D19" s="138">
        <v>11240.8</v>
      </c>
      <c r="E19" s="139">
        <f>100*D19/D$33</f>
        <v>11.239205156788252</v>
      </c>
      <c r="F19" s="140">
        <f>G19*D19</f>
        <v>2810.2</v>
      </c>
      <c r="G19" s="141">
        <v>0.25</v>
      </c>
      <c r="H19" s="140">
        <f>I19*D19</f>
        <v>5058.3599999999997</v>
      </c>
      <c r="I19" s="141">
        <v>0.45</v>
      </c>
      <c r="J19" s="140">
        <f t="shared" ref="J19:J32" si="0">K19*D19</f>
        <v>3372.24</v>
      </c>
      <c r="K19" s="141">
        <v>0.3</v>
      </c>
      <c r="L19" s="142">
        <f>+G19+I19+K19</f>
        <v>1</v>
      </c>
      <c r="N19" s="143"/>
    </row>
    <row r="20" spans="2:14" ht="15.75" x14ac:dyDescent="0.25">
      <c r="B20" s="136">
        <v>2</v>
      </c>
      <c r="C20" s="137" t="str">
        <f>'[1]RESUMO SEM DESONERAÇÃO'!C18:D18</f>
        <v>SERVIÇOS PRELIMINARES</v>
      </c>
      <c r="D20" s="138">
        <v>11516.47</v>
      </c>
      <c r="E20" s="139">
        <f t="shared" ref="E20:E32" si="1">100*D20/D$33</f>
        <v>11.514836044765248</v>
      </c>
      <c r="F20" s="140">
        <f>G20*D20</f>
        <v>11516.47</v>
      </c>
      <c r="G20" s="144">
        <v>1</v>
      </c>
      <c r="H20" s="140">
        <f t="shared" ref="H20:H32" si="2">I20*D20</f>
        <v>0</v>
      </c>
      <c r="I20" s="144"/>
      <c r="J20" s="140">
        <f t="shared" si="0"/>
        <v>0</v>
      </c>
      <c r="K20" s="144"/>
      <c r="L20" s="142">
        <f t="shared" ref="L20:L32" si="3">+G20+I20+K20</f>
        <v>1</v>
      </c>
    </row>
    <row r="21" spans="2:14" ht="15.75" x14ac:dyDescent="0.25">
      <c r="B21" s="136">
        <v>3</v>
      </c>
      <c r="C21" s="137" t="str">
        <f>'[1]RESUMO SEM DESONERAÇÃO'!C19:D19</f>
        <v>MOVIMENTO DE TERRA</v>
      </c>
      <c r="D21" s="138">
        <v>235.39</v>
      </c>
      <c r="E21" s="139">
        <f t="shared" si="1"/>
        <v>0.23535660289804877</v>
      </c>
      <c r="F21" s="140">
        <f t="shared" ref="F21:F32" si="4">G21*D21</f>
        <v>235.39</v>
      </c>
      <c r="G21" s="141">
        <v>1</v>
      </c>
      <c r="H21" s="140">
        <f t="shared" si="2"/>
        <v>0</v>
      </c>
      <c r="I21" s="141"/>
      <c r="J21" s="140">
        <f t="shared" si="0"/>
        <v>0</v>
      </c>
      <c r="K21" s="141"/>
      <c r="L21" s="142">
        <f t="shared" si="3"/>
        <v>1</v>
      </c>
    </row>
    <row r="22" spans="2:14" ht="15.75" x14ac:dyDescent="0.25">
      <c r="B22" s="136">
        <v>4</v>
      </c>
      <c r="C22" s="137" t="str">
        <f>'[1]RESUMO SEM DESONERAÇÃO'!C20:D20</f>
        <v>INFRAESTRUTURA</v>
      </c>
      <c r="D22" s="145">
        <v>9245.9699999999993</v>
      </c>
      <c r="E22" s="139">
        <f t="shared" si="1"/>
        <v>9.2446581830038301</v>
      </c>
      <c r="F22" s="140">
        <f t="shared" si="4"/>
        <v>9245.9699999999993</v>
      </c>
      <c r="G22" s="141">
        <v>1</v>
      </c>
      <c r="H22" s="140">
        <f t="shared" si="2"/>
        <v>0</v>
      </c>
      <c r="I22" s="141"/>
      <c r="J22" s="140">
        <f t="shared" si="0"/>
        <v>0</v>
      </c>
      <c r="K22" s="141"/>
      <c r="L22" s="142">
        <f t="shared" si="3"/>
        <v>1</v>
      </c>
    </row>
    <row r="23" spans="2:14" ht="15.75" x14ac:dyDescent="0.25">
      <c r="B23" s="136" t="s">
        <v>229</v>
      </c>
      <c r="C23" s="137" t="s">
        <v>227</v>
      </c>
      <c r="D23" s="145">
        <v>6378.32</v>
      </c>
      <c r="E23" s="139">
        <f t="shared" si="1"/>
        <v>6.3774150448051419</v>
      </c>
      <c r="F23" s="140">
        <f t="shared" si="4"/>
        <v>6378.32</v>
      </c>
      <c r="G23" s="141">
        <v>1</v>
      </c>
      <c r="H23" s="140"/>
      <c r="I23" s="141"/>
      <c r="J23" s="140"/>
      <c r="K23" s="141"/>
      <c r="L23" s="142">
        <f t="shared" si="3"/>
        <v>1</v>
      </c>
    </row>
    <row r="24" spans="2:14" ht="15.75" x14ac:dyDescent="0.25">
      <c r="B24" s="136">
        <v>5</v>
      </c>
      <c r="C24" s="137" t="str">
        <f>'[1]RESUMO SEM DESONERAÇÃO'!C21:D21</f>
        <v>SUPRAESTRUTURA</v>
      </c>
      <c r="D24" s="145">
        <v>14489.94</v>
      </c>
      <c r="E24" s="139">
        <f t="shared" si="1"/>
        <v>14.487884169236384</v>
      </c>
      <c r="F24" s="140">
        <f t="shared" si="4"/>
        <v>2897.9880000000003</v>
      </c>
      <c r="G24" s="141">
        <v>0.2</v>
      </c>
      <c r="H24" s="140">
        <f t="shared" si="2"/>
        <v>8693.9639999999999</v>
      </c>
      <c r="I24" s="141">
        <v>0.6</v>
      </c>
      <c r="J24" s="140">
        <f t="shared" si="0"/>
        <v>2897.9880000000003</v>
      </c>
      <c r="K24" s="141">
        <v>0.2</v>
      </c>
      <c r="L24" s="142">
        <f t="shared" si="3"/>
        <v>1</v>
      </c>
    </row>
    <row r="25" spans="2:14" ht="31.5" x14ac:dyDescent="0.25">
      <c r="B25" s="136">
        <v>6</v>
      </c>
      <c r="C25" s="146" t="s">
        <v>301</v>
      </c>
      <c r="D25" s="145">
        <v>8183.54</v>
      </c>
      <c r="E25" s="139">
        <f t="shared" si="1"/>
        <v>8.1823789204311907</v>
      </c>
      <c r="F25" s="140">
        <v>0</v>
      </c>
      <c r="G25" s="141"/>
      <c r="H25" s="140">
        <f t="shared" si="2"/>
        <v>8183.54</v>
      </c>
      <c r="I25" s="141">
        <v>1</v>
      </c>
      <c r="J25" s="140">
        <v>0</v>
      </c>
      <c r="K25" s="141"/>
      <c r="L25" s="142">
        <v>1</v>
      </c>
    </row>
    <row r="26" spans="2:14" ht="15.75" x14ac:dyDescent="0.25">
      <c r="B26" s="136">
        <v>7</v>
      </c>
      <c r="C26" s="146" t="s">
        <v>10</v>
      </c>
      <c r="D26" s="145">
        <v>4569.8100000000004</v>
      </c>
      <c r="E26" s="139">
        <f t="shared" si="1"/>
        <v>4.5691616359638569</v>
      </c>
      <c r="F26" s="140"/>
      <c r="G26" s="148"/>
      <c r="H26" s="140">
        <f t="shared" si="2"/>
        <v>4569.8100000000004</v>
      </c>
      <c r="I26" s="141">
        <v>1</v>
      </c>
      <c r="J26" s="140"/>
      <c r="K26" s="148"/>
      <c r="L26" s="142">
        <v>1</v>
      </c>
    </row>
    <row r="27" spans="2:14" ht="15.75" x14ac:dyDescent="0.25">
      <c r="B27" s="136">
        <v>8</v>
      </c>
      <c r="C27" s="146" t="str">
        <f>'[1]Sintético - Sem Desonerado'!D60</f>
        <v>REVESTIMENTO</v>
      </c>
      <c r="D27" s="147">
        <v>12963.47</v>
      </c>
      <c r="E27" s="139">
        <f t="shared" si="1"/>
        <v>12.961630744597342</v>
      </c>
      <c r="F27" s="140">
        <f t="shared" si="4"/>
        <v>0</v>
      </c>
      <c r="G27" s="148"/>
      <c r="H27" s="140">
        <f t="shared" si="2"/>
        <v>12963.47</v>
      </c>
      <c r="I27" s="148">
        <v>1</v>
      </c>
      <c r="J27" s="140">
        <f t="shared" si="0"/>
        <v>0</v>
      </c>
      <c r="K27" s="148"/>
      <c r="L27" s="142">
        <f t="shared" si="3"/>
        <v>1</v>
      </c>
    </row>
    <row r="28" spans="2:14" ht="15.75" x14ac:dyDescent="0.25">
      <c r="B28" s="136">
        <v>9</v>
      </c>
      <c r="C28" s="146" t="str">
        <f>'[1]Sintético - Sem Desonerado'!D65</f>
        <v>ESQUADRIAS</v>
      </c>
      <c r="D28" s="147">
        <v>7692.27</v>
      </c>
      <c r="E28" s="139">
        <f t="shared" si="1"/>
        <v>7.6911786217535729</v>
      </c>
      <c r="F28" s="140">
        <f t="shared" si="4"/>
        <v>0</v>
      </c>
      <c r="G28" s="148"/>
      <c r="H28" s="140">
        <f t="shared" si="2"/>
        <v>7692.27</v>
      </c>
      <c r="I28" s="148">
        <v>1</v>
      </c>
      <c r="J28" s="140">
        <f t="shared" si="0"/>
        <v>0</v>
      </c>
      <c r="K28" s="148"/>
      <c r="L28" s="142">
        <f t="shared" si="3"/>
        <v>1</v>
      </c>
    </row>
    <row r="29" spans="2:14" ht="15.75" x14ac:dyDescent="0.25">
      <c r="B29" s="136">
        <v>10</v>
      </c>
      <c r="C29" s="146" t="s">
        <v>9</v>
      </c>
      <c r="D29" s="147">
        <v>4451.2700000000004</v>
      </c>
      <c r="E29" s="139">
        <f t="shared" si="1"/>
        <v>4.4506384544033208</v>
      </c>
      <c r="F29" s="140"/>
      <c r="G29" s="148"/>
      <c r="H29" s="140">
        <f t="shared" si="2"/>
        <v>4451.2700000000004</v>
      </c>
      <c r="I29" s="148">
        <v>1</v>
      </c>
      <c r="J29" s="140"/>
      <c r="K29" s="148"/>
      <c r="L29" s="142">
        <f t="shared" si="3"/>
        <v>1</v>
      </c>
    </row>
    <row r="30" spans="2:14" ht="15.75" x14ac:dyDescent="0.25">
      <c r="B30" s="136">
        <v>11</v>
      </c>
      <c r="C30" s="146" t="s">
        <v>11</v>
      </c>
      <c r="D30" s="147">
        <v>2588.48</v>
      </c>
      <c r="E30" s="139">
        <f t="shared" si="1"/>
        <v>2.588112746801229</v>
      </c>
      <c r="F30" s="140">
        <f t="shared" si="4"/>
        <v>0</v>
      </c>
      <c r="G30" s="148"/>
      <c r="H30" s="140">
        <f t="shared" si="2"/>
        <v>1294.24</v>
      </c>
      <c r="I30" s="148">
        <v>0.5</v>
      </c>
      <c r="J30" s="140">
        <f t="shared" si="0"/>
        <v>1294.24</v>
      </c>
      <c r="K30" s="148">
        <v>0.5</v>
      </c>
      <c r="L30" s="142">
        <f t="shared" si="3"/>
        <v>1</v>
      </c>
    </row>
    <row r="31" spans="2:14" ht="15.75" x14ac:dyDescent="0.25">
      <c r="B31" s="136">
        <v>12</v>
      </c>
      <c r="C31" s="146" t="s">
        <v>26</v>
      </c>
      <c r="D31" s="147">
        <v>6092.26</v>
      </c>
      <c r="E31" s="139">
        <f t="shared" si="1"/>
        <v>6.0913956309599664</v>
      </c>
      <c r="F31" s="140">
        <f t="shared" si="4"/>
        <v>0</v>
      </c>
      <c r="G31" s="148"/>
      <c r="H31" s="140">
        <f t="shared" si="2"/>
        <v>0</v>
      </c>
      <c r="I31" s="148"/>
      <c r="J31" s="140">
        <f t="shared" si="0"/>
        <v>6092.26</v>
      </c>
      <c r="K31" s="148">
        <v>1</v>
      </c>
      <c r="L31" s="142">
        <f t="shared" si="3"/>
        <v>1</v>
      </c>
    </row>
    <row r="32" spans="2:14" ht="16.5" thickBot="1" x14ac:dyDescent="0.3">
      <c r="B32" s="136">
        <v>13</v>
      </c>
      <c r="C32" s="146" t="s">
        <v>90</v>
      </c>
      <c r="D32" s="149">
        <v>366.2</v>
      </c>
      <c r="E32" s="139">
        <f t="shared" si="1"/>
        <v>0.36614804359261421</v>
      </c>
      <c r="F32" s="140">
        <f t="shared" si="4"/>
        <v>0</v>
      </c>
      <c r="G32" s="148"/>
      <c r="H32" s="140">
        <f t="shared" si="2"/>
        <v>0</v>
      </c>
      <c r="I32" s="148"/>
      <c r="J32" s="140">
        <f t="shared" si="0"/>
        <v>366.2</v>
      </c>
      <c r="K32" s="148">
        <v>1</v>
      </c>
      <c r="L32" s="142">
        <f t="shared" si="3"/>
        <v>1</v>
      </c>
    </row>
    <row r="33" spans="1:14" ht="15.75" x14ac:dyDescent="0.2">
      <c r="A33" s="109" t="b">
        <f>D33='[1]Sintético - Sem Desonerado'!F129</f>
        <v>0</v>
      </c>
      <c r="B33" s="150"/>
      <c r="C33" s="151" t="s">
        <v>293</v>
      </c>
      <c r="D33" s="152">
        <f>SUM(D19:D32)</f>
        <v>100014.19</v>
      </c>
      <c r="E33" s="153">
        <f>SUM(E19:E32)</f>
        <v>100</v>
      </c>
      <c r="F33" s="154">
        <f>SUM(F19:F32)</f>
        <v>33084.337999999996</v>
      </c>
      <c r="G33" s="155">
        <f>F33/$D$33</f>
        <v>0.33079643998516606</v>
      </c>
      <c r="H33" s="154">
        <f>SUM(H19:H32)</f>
        <v>52906.924000000006</v>
      </c>
      <c r="I33" s="155">
        <f>H33/$D$33</f>
        <v>0.52899417572646446</v>
      </c>
      <c r="J33" s="154">
        <f>SUM(J19:J32)</f>
        <v>14022.928</v>
      </c>
      <c r="K33" s="155">
        <f>J33/$D$33</f>
        <v>0.14020938428836949</v>
      </c>
      <c r="L33" s="156">
        <f>SUM(G33+I33+K33)</f>
        <v>1</v>
      </c>
    </row>
    <row r="34" spans="1:14" ht="42.75" customHeight="1" thickBot="1" x14ac:dyDescent="0.25">
      <c r="B34" s="157"/>
      <c r="C34" s="158" t="s">
        <v>294</v>
      </c>
      <c r="D34" s="159"/>
      <c r="E34" s="160"/>
      <c r="F34" s="161">
        <f>F33</f>
        <v>33084.337999999996</v>
      </c>
      <c r="G34" s="162">
        <f>+F34/$D$33</f>
        <v>0.33079643998516606</v>
      </c>
      <c r="H34" s="161">
        <f>F34+H33</f>
        <v>85991.262000000002</v>
      </c>
      <c r="I34" s="162">
        <f>+H34/$D$33</f>
        <v>0.85979061571163051</v>
      </c>
      <c r="J34" s="161">
        <f>H34+J33</f>
        <v>100014.19</v>
      </c>
      <c r="K34" s="162">
        <f>+J34/$D$33</f>
        <v>1</v>
      </c>
      <c r="L34" s="163"/>
      <c r="N34" s="109" t="b">
        <f>J34=D33</f>
        <v>1</v>
      </c>
    </row>
    <row r="35" spans="1:14" s="168" customFormat="1" ht="36.75" customHeight="1" x14ac:dyDescent="0.2">
      <c r="B35" s="257" t="s">
        <v>302</v>
      </c>
      <c r="C35" s="258"/>
      <c r="D35" s="259"/>
      <c r="E35" s="263" t="s">
        <v>303</v>
      </c>
      <c r="F35" s="264"/>
      <c r="G35" s="264"/>
      <c r="H35" s="264"/>
      <c r="I35" s="264"/>
      <c r="J35" s="264"/>
      <c r="K35" s="264"/>
      <c r="L35" s="265"/>
      <c r="M35" s="167"/>
    </row>
    <row r="36" spans="1:14" ht="24.75" customHeight="1" thickBot="1" x14ac:dyDescent="0.25">
      <c r="B36" s="260"/>
      <c r="C36" s="261"/>
      <c r="D36" s="262"/>
      <c r="E36" s="266"/>
      <c r="F36" s="267"/>
      <c r="G36" s="267"/>
      <c r="H36" s="267"/>
      <c r="I36" s="267"/>
      <c r="J36" s="267"/>
      <c r="K36" s="267"/>
      <c r="L36" s="268"/>
    </row>
    <row r="39" spans="1:14" x14ac:dyDescent="0.2">
      <c r="C39" s="109" t="b">
        <f>D33='[1]Sintético - Sem Desonerado'!I128</f>
        <v>0</v>
      </c>
      <c r="D39" s="164">
        <f>D19+D21+D22+D24+D25+D20</f>
        <v>54912.11</v>
      </c>
      <c r="G39" s="165">
        <f>F33/D39</f>
        <v>0.6024962071207971</v>
      </c>
      <c r="H39" s="143"/>
      <c r="I39" s="165">
        <f>H33/D39</f>
        <v>0.96348371971137159</v>
      </c>
      <c r="J39" s="143"/>
      <c r="K39" s="165">
        <f>J33/D39</f>
        <v>0.25537040918660747</v>
      </c>
    </row>
    <row r="41" spans="1:14" x14ac:dyDescent="0.2">
      <c r="G41" s="109">
        <v>38.33</v>
      </c>
      <c r="I41" s="109">
        <v>49.66</v>
      </c>
    </row>
  </sheetData>
  <mergeCells count="20">
    <mergeCell ref="B3:L3"/>
    <mergeCell ref="B4:L4"/>
    <mergeCell ref="C10:G10"/>
    <mergeCell ref="C11:G11"/>
    <mergeCell ref="C12:G12"/>
    <mergeCell ref="B35:D36"/>
    <mergeCell ref="E35:L36"/>
    <mergeCell ref="B5:L5"/>
    <mergeCell ref="B6:L6"/>
    <mergeCell ref="B7:L7"/>
    <mergeCell ref="B14:L14"/>
    <mergeCell ref="B15:L15"/>
    <mergeCell ref="B16:B18"/>
    <mergeCell ref="C16:C18"/>
    <mergeCell ref="D16:E17"/>
    <mergeCell ref="F16:L16"/>
    <mergeCell ref="F17:G17"/>
    <mergeCell ref="H17:I17"/>
    <mergeCell ref="J17:K17"/>
    <mergeCell ref="C13:G13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B7" workbookViewId="0">
      <selection activeCell="L34" sqref="L34"/>
    </sheetView>
  </sheetViews>
  <sheetFormatPr defaultRowHeight="14.25" x14ac:dyDescent="0.2"/>
  <cols>
    <col min="1" max="1" width="46.625" bestFit="1" customWidth="1"/>
    <col min="2" max="2" width="9.875" style="2" bestFit="1" customWidth="1"/>
    <col min="3" max="3" width="8.875" bestFit="1" customWidth="1"/>
    <col min="4" max="4" width="48.25" bestFit="1" customWidth="1"/>
  </cols>
  <sheetData>
    <row r="1" spans="1:13" x14ac:dyDescent="0.2">
      <c r="A1" s="10" t="s">
        <v>44</v>
      </c>
      <c r="B1" s="12" t="s">
        <v>45</v>
      </c>
      <c r="C1" s="5" t="s">
        <v>52</v>
      </c>
    </row>
    <row r="2" spans="1:13" ht="15" x14ac:dyDescent="0.25">
      <c r="A2" s="8" t="s">
        <v>14</v>
      </c>
      <c r="B2" s="8"/>
    </row>
    <row r="3" spans="1:13" x14ac:dyDescent="0.2">
      <c r="A3" t="s">
        <v>10</v>
      </c>
      <c r="B3" t="s">
        <v>7</v>
      </c>
      <c r="C3" s="11">
        <f>(1.68+5.8+0.46+0.79+0.71+0.66+0.38+1.68)*1.2</f>
        <v>14.592000000000002</v>
      </c>
    </row>
    <row r="4" spans="1:13" x14ac:dyDescent="0.2">
      <c r="A4" t="s">
        <v>26</v>
      </c>
      <c r="B4" t="s">
        <v>7</v>
      </c>
      <c r="C4">
        <f>(2.21+2.12+1.96+1.97)</f>
        <v>8.26</v>
      </c>
    </row>
    <row r="5" spans="1:13" s="2" customFormat="1" x14ac:dyDescent="0.2"/>
    <row r="6" spans="1:13" ht="15" x14ac:dyDescent="0.25">
      <c r="A6" s="8" t="s">
        <v>24</v>
      </c>
      <c r="B6" s="8"/>
    </row>
    <row r="7" spans="1:13" x14ac:dyDescent="0.2">
      <c r="A7" t="s">
        <v>15</v>
      </c>
      <c r="G7">
        <v>0.18</v>
      </c>
      <c r="H7">
        <v>0.02</v>
      </c>
      <c r="I7">
        <f>G7+H7</f>
        <v>0.19999999999999998</v>
      </c>
      <c r="J7">
        <f>I7*6</f>
        <v>1.2</v>
      </c>
    </row>
    <row r="8" spans="1:13" x14ac:dyDescent="0.2">
      <c r="A8" t="s">
        <v>16</v>
      </c>
      <c r="C8" s="11">
        <f>((0.3*0.15)*3.3)*6</f>
        <v>0.89100000000000001</v>
      </c>
      <c r="D8" t="s">
        <v>46</v>
      </c>
    </row>
    <row r="9" spans="1:13" x14ac:dyDescent="0.2">
      <c r="A9" t="s">
        <v>25</v>
      </c>
      <c r="C9" s="11">
        <f>((0.2*0.3)*4.03)+((0.2*0.3)*3.13)*2</f>
        <v>0.61739999999999995</v>
      </c>
      <c r="D9" t="s">
        <v>47</v>
      </c>
    </row>
    <row r="10" spans="1:13" x14ac:dyDescent="0.2">
      <c r="A10" t="s">
        <v>10</v>
      </c>
      <c r="C10" s="11">
        <f>(3.13+2+2+3.13+2+2)*2.7-(1*0.4)*2+(0.8*2.1)*2</f>
        <v>41.062000000000005</v>
      </c>
      <c r="G10">
        <v>32</v>
      </c>
    </row>
    <row r="11" spans="1:13" x14ac:dyDescent="0.2">
      <c r="A11" t="s">
        <v>17</v>
      </c>
      <c r="G11">
        <v>32</v>
      </c>
    </row>
    <row r="12" spans="1:13" s="2" customFormat="1" x14ac:dyDescent="0.2">
      <c r="A12" s="2" t="s">
        <v>50</v>
      </c>
      <c r="B12" s="2" t="s">
        <v>53</v>
      </c>
      <c r="C12" s="2">
        <v>2</v>
      </c>
      <c r="G12" s="2">
        <v>69</v>
      </c>
    </row>
    <row r="13" spans="1:13" s="2" customFormat="1" x14ac:dyDescent="0.2">
      <c r="A13" s="2" t="s">
        <v>48</v>
      </c>
      <c r="B13" s="2" t="s">
        <v>53</v>
      </c>
      <c r="C13" s="2">
        <v>4</v>
      </c>
      <c r="G13" s="2">
        <f>G10+G11+G12</f>
        <v>133</v>
      </c>
      <c r="H13" s="2">
        <v>6</v>
      </c>
      <c r="I13" s="2">
        <f>G13*H13</f>
        <v>798</v>
      </c>
    </row>
    <row r="14" spans="1:13" s="2" customFormat="1" ht="15" x14ac:dyDescent="0.25">
      <c r="A14" s="8" t="s">
        <v>18</v>
      </c>
      <c r="G14" s="2">
        <v>122</v>
      </c>
      <c r="H14" s="2">
        <v>5</v>
      </c>
      <c r="I14" s="2">
        <f>G14*H14</f>
        <v>610</v>
      </c>
    </row>
    <row r="15" spans="1:13" s="2" customFormat="1" x14ac:dyDescent="0.2">
      <c r="A15" s="2" t="s">
        <v>49</v>
      </c>
      <c r="B15" s="2" t="s">
        <v>53</v>
      </c>
      <c r="C15" s="2">
        <v>4</v>
      </c>
      <c r="I15" s="2">
        <f>SUM(I13:I14)</f>
        <v>1408</v>
      </c>
      <c r="J15" s="2">
        <v>6</v>
      </c>
    </row>
    <row r="16" spans="1:13" s="2" customFormat="1" x14ac:dyDescent="0.2">
      <c r="A16" s="2" t="s">
        <v>51</v>
      </c>
      <c r="B16" s="2" t="s">
        <v>53</v>
      </c>
      <c r="C16" s="2">
        <v>2</v>
      </c>
      <c r="J16" s="2">
        <f>I15*J15/100</f>
        <v>84.48</v>
      </c>
      <c r="K16" s="2" t="s">
        <v>91</v>
      </c>
      <c r="L16" s="2">
        <v>0.61699999999999999</v>
      </c>
      <c r="M16" s="2" t="s">
        <v>106</v>
      </c>
    </row>
    <row r="17" spans="1:15" x14ac:dyDescent="0.2">
      <c r="L17">
        <f>J16*L16</f>
        <v>52.124160000000003</v>
      </c>
    </row>
    <row r="18" spans="1:15" x14ac:dyDescent="0.2">
      <c r="A18" t="s">
        <v>19</v>
      </c>
      <c r="B18" s="2" t="s">
        <v>13</v>
      </c>
      <c r="C18">
        <f>(1.2*0.5)*2</f>
        <v>1.2</v>
      </c>
    </row>
    <row r="19" spans="1:15" x14ac:dyDescent="0.2">
      <c r="A19" t="s">
        <v>54</v>
      </c>
      <c r="B19" s="2" t="s">
        <v>13</v>
      </c>
      <c r="C19">
        <f>(0.7*1.9)*4</f>
        <v>5.3199999999999994</v>
      </c>
    </row>
    <row r="20" spans="1:15" x14ac:dyDescent="0.2">
      <c r="A20" t="s">
        <v>55</v>
      </c>
      <c r="B20" s="2" t="s">
        <v>13</v>
      </c>
      <c r="C20">
        <f>(1*0.4)*2</f>
        <v>0.8</v>
      </c>
      <c r="G20">
        <v>4</v>
      </c>
      <c r="H20">
        <v>10</v>
      </c>
      <c r="I20">
        <v>14.26</v>
      </c>
      <c r="J20">
        <f>G20*I20</f>
        <v>57.04</v>
      </c>
      <c r="K20">
        <f>J20*L16</f>
        <v>35.193680000000001</v>
      </c>
    </row>
    <row r="21" spans="1:15" x14ac:dyDescent="0.2">
      <c r="A21" t="s">
        <v>9</v>
      </c>
      <c r="B21" s="2" t="s">
        <v>13</v>
      </c>
      <c r="C21">
        <v>24.14</v>
      </c>
      <c r="H21">
        <f>24+24+14+14+3</f>
        <v>79</v>
      </c>
      <c r="I21">
        <v>5</v>
      </c>
      <c r="J21">
        <f>H21/100*H22</f>
        <v>93.878333333333345</v>
      </c>
      <c r="K21">
        <v>0.154</v>
      </c>
      <c r="L21">
        <f>J21*K21</f>
        <v>14.457263333333335</v>
      </c>
    </row>
    <row r="22" spans="1:15" x14ac:dyDescent="0.2">
      <c r="A22" t="s">
        <v>8</v>
      </c>
      <c r="B22" s="2" t="s">
        <v>13</v>
      </c>
      <c r="C22">
        <f>6.35*2</f>
        <v>12.7</v>
      </c>
      <c r="H22">
        <f>I20/0.12</f>
        <v>118.83333333333334</v>
      </c>
    </row>
    <row r="23" spans="1:15" s="2" customFormat="1" x14ac:dyDescent="0.2">
      <c r="A23" t="s">
        <v>56</v>
      </c>
      <c r="B23" s="2" t="s">
        <v>13</v>
      </c>
      <c r="C23" s="2">
        <v>41.16</v>
      </c>
      <c r="E23" s="2">
        <f>(4.45+3.43+4.45+3.43)*3-C19-C20</f>
        <v>41.160000000000004</v>
      </c>
    </row>
    <row r="24" spans="1:15" s="2" customFormat="1" x14ac:dyDescent="0.2">
      <c r="A24" s="2" t="s">
        <v>28</v>
      </c>
      <c r="B24" s="2" t="s">
        <v>53</v>
      </c>
    </row>
    <row r="25" spans="1:15" s="2" customFormat="1" x14ac:dyDescent="0.2">
      <c r="A25" s="2" t="s">
        <v>57</v>
      </c>
      <c r="B25" s="2" t="s">
        <v>53</v>
      </c>
      <c r="C25" s="2">
        <v>1</v>
      </c>
    </row>
    <row r="26" spans="1:15" s="2" customFormat="1" x14ac:dyDescent="0.2">
      <c r="H26" s="2">
        <f>0.6*0.4*2*6</f>
        <v>2.88</v>
      </c>
      <c r="J26" s="2">
        <v>4</v>
      </c>
      <c r="K26" s="2">
        <v>10</v>
      </c>
      <c r="L26" s="2">
        <v>3.9</v>
      </c>
      <c r="M26" s="2">
        <f>J26*L26*6</f>
        <v>93.6</v>
      </c>
      <c r="N26" s="2">
        <f>M26*L16</f>
        <v>57.751199999999997</v>
      </c>
    </row>
    <row r="27" spans="1:15" ht="15" x14ac:dyDescent="0.25">
      <c r="A27" s="8" t="s">
        <v>20</v>
      </c>
      <c r="B27" s="8"/>
      <c r="H27">
        <f>0.75*0.4*2*6</f>
        <v>3.6000000000000005</v>
      </c>
      <c r="J27" s="2"/>
      <c r="K27" s="2">
        <f>24+24+14+14+3</f>
        <v>79</v>
      </c>
      <c r="L27" s="2">
        <v>5</v>
      </c>
      <c r="M27" s="2">
        <f>K27/100*K28</f>
        <v>25.675000000000001</v>
      </c>
      <c r="N27" s="2">
        <v>0.154</v>
      </c>
      <c r="O27" s="2">
        <f>M27*N27</f>
        <v>3.9539499999999999</v>
      </c>
    </row>
    <row r="28" spans="1:15" s="2" customFormat="1" x14ac:dyDescent="0.2">
      <c r="A28" s="15" t="s">
        <v>29</v>
      </c>
      <c r="B28" s="13" t="s">
        <v>7</v>
      </c>
      <c r="C28" s="2">
        <v>1500</v>
      </c>
      <c r="H28" s="2">
        <f>0.4*2*0.2*6</f>
        <v>0.96000000000000019</v>
      </c>
      <c r="K28" s="2">
        <f>L26/0.12</f>
        <v>32.5</v>
      </c>
    </row>
    <row r="29" spans="1:15" s="2" customFormat="1" x14ac:dyDescent="0.2">
      <c r="A29" s="15" t="s">
        <v>27</v>
      </c>
      <c r="B29" s="13" t="s">
        <v>7</v>
      </c>
      <c r="C29" s="2">
        <v>1500</v>
      </c>
      <c r="H29" s="2">
        <f>0.25*2*0.2*6</f>
        <v>0.60000000000000009</v>
      </c>
    </row>
    <row r="30" spans="1:15" s="2" customFormat="1" x14ac:dyDescent="0.2">
      <c r="A30" s="16" t="s">
        <v>22</v>
      </c>
      <c r="B30" s="17" t="s">
        <v>53</v>
      </c>
      <c r="C30" s="18">
        <v>1</v>
      </c>
      <c r="H30" s="2">
        <f>SUM(H26:H29)</f>
        <v>8.0400000000000009</v>
      </c>
    </row>
    <row r="31" spans="1:15" s="2" customFormat="1" x14ac:dyDescent="0.2">
      <c r="A31" s="16" t="s">
        <v>23</v>
      </c>
      <c r="B31" s="17" t="s">
        <v>53</v>
      </c>
      <c r="C31" s="18">
        <v>1</v>
      </c>
      <c r="K31" s="2">
        <v>161.35</v>
      </c>
      <c r="L31" s="2">
        <f>K31*L16</f>
        <v>99.552949999999996</v>
      </c>
    </row>
    <row r="32" spans="1:15" x14ac:dyDescent="0.2">
      <c r="A32" s="19" t="s">
        <v>30</v>
      </c>
      <c r="K32">
        <v>159.49</v>
      </c>
      <c r="L32">
        <f>K32*K21</f>
        <v>24.56146</v>
      </c>
    </row>
    <row r="33" spans="1:15" x14ac:dyDescent="0.2">
      <c r="A33" s="19" t="s">
        <v>31</v>
      </c>
      <c r="G33" s="2">
        <v>4</v>
      </c>
      <c r="H33" s="2">
        <v>10</v>
      </c>
      <c r="I33" s="2">
        <v>20.399999999999999</v>
      </c>
      <c r="J33" s="2">
        <f>G33*I33</f>
        <v>81.599999999999994</v>
      </c>
      <c r="K33" s="2">
        <f>J33*L16</f>
        <v>50.347199999999994</v>
      </c>
      <c r="L33" s="2"/>
    </row>
    <row r="34" spans="1:15" x14ac:dyDescent="0.2">
      <c r="A34" s="19" t="s">
        <v>32</v>
      </c>
      <c r="G34" s="2"/>
      <c r="H34" s="2">
        <f>24+24+14+14+3</f>
        <v>79</v>
      </c>
      <c r="I34" s="2">
        <v>5</v>
      </c>
      <c r="J34" s="2">
        <f>H34/100*H35</f>
        <v>134.30000000000001</v>
      </c>
      <c r="K34" s="2">
        <v>0.154</v>
      </c>
      <c r="L34" s="2">
        <f>J34*K34</f>
        <v>20.682200000000002</v>
      </c>
    </row>
    <row r="35" spans="1:15" x14ac:dyDescent="0.2">
      <c r="A35" s="19" t="s">
        <v>33</v>
      </c>
      <c r="G35" s="2"/>
      <c r="H35" s="2">
        <f>I33/0.12</f>
        <v>170</v>
      </c>
      <c r="I35" s="2"/>
      <c r="J35" s="2"/>
      <c r="K35" s="2"/>
      <c r="L35" s="2"/>
    </row>
    <row r="37" spans="1:15" s="2" customFormat="1" ht="15" x14ac:dyDescent="0.25">
      <c r="A37" s="8" t="s">
        <v>21</v>
      </c>
      <c r="B37" s="8"/>
      <c r="J37" s="2">
        <v>4</v>
      </c>
      <c r="K37" s="2">
        <v>10</v>
      </c>
      <c r="L37" s="2">
        <v>3.25</v>
      </c>
      <c r="M37" s="2">
        <f>J37*L37*6</f>
        <v>78</v>
      </c>
      <c r="N37" s="2">
        <f>M37*L16</f>
        <v>48.125999999999998</v>
      </c>
    </row>
    <row r="38" spans="1:15" s="2" customFormat="1" x14ac:dyDescent="0.2">
      <c r="A38" s="16" t="s">
        <v>10</v>
      </c>
      <c r="B38" s="2" t="s">
        <v>13</v>
      </c>
      <c r="C38" s="11">
        <f>E38</f>
        <v>2.976</v>
      </c>
      <c r="E38" s="11">
        <f>(2.83+2.13)*0.6</f>
        <v>2.976</v>
      </c>
      <c r="K38" s="2">
        <f>24+24+14+14+3</f>
        <v>79</v>
      </c>
      <c r="L38" s="2">
        <v>5</v>
      </c>
      <c r="M38" s="2">
        <f>K38/100*K39</f>
        <v>21.395833333333336</v>
      </c>
      <c r="N38" s="2">
        <v>0.154</v>
      </c>
      <c r="O38" s="2">
        <f>M38*N38</f>
        <v>3.2949583333333337</v>
      </c>
    </row>
    <row r="39" spans="1:15" s="2" customFormat="1" x14ac:dyDescent="0.2">
      <c r="A39" s="16" t="s">
        <v>34</v>
      </c>
      <c r="B39" s="2" t="s">
        <v>13</v>
      </c>
      <c r="C39" s="11">
        <f>SUM(E39,F39,G39)</f>
        <v>54.407199999999989</v>
      </c>
      <c r="E39" s="11">
        <f>(2.78+2.78+2.72+2.83+2.08+2.08+2.02+2.13+3.8)*1.91</f>
        <v>44.350199999999994</v>
      </c>
      <c r="F39" s="11">
        <f>(3.8+3.8)*1.21</f>
        <v>9.1959999999999997</v>
      </c>
      <c r="G39" s="11">
        <f>(0.7*3)*0.41</f>
        <v>0.86099999999999977</v>
      </c>
      <c r="K39" s="2">
        <f>L37/0.12</f>
        <v>27.083333333333336</v>
      </c>
    </row>
    <row r="40" spans="1:15" s="2" customFormat="1" x14ac:dyDescent="0.2">
      <c r="A40" s="16" t="s">
        <v>61</v>
      </c>
      <c r="B40" s="2" t="s">
        <v>13</v>
      </c>
      <c r="C40" s="2">
        <f>(2.1*0.7)*3</f>
        <v>4.41</v>
      </c>
    </row>
    <row r="41" spans="1:15" x14ac:dyDescent="0.2">
      <c r="A41" s="16" t="s">
        <v>62</v>
      </c>
      <c r="B41" s="2" t="s">
        <v>13</v>
      </c>
      <c r="C41">
        <v>56.3</v>
      </c>
    </row>
    <row r="42" spans="1:15" s="2" customFormat="1" x14ac:dyDescent="0.2">
      <c r="A42" s="16" t="s">
        <v>59</v>
      </c>
      <c r="B42" s="2" t="s">
        <v>58</v>
      </c>
      <c r="C42" s="2">
        <v>2</v>
      </c>
    </row>
    <row r="43" spans="1:15" s="2" customFormat="1" x14ac:dyDescent="0.2">
      <c r="A43" s="16" t="s">
        <v>39</v>
      </c>
      <c r="B43" s="2" t="s">
        <v>12</v>
      </c>
      <c r="C43" s="2">
        <f>E43-F43</f>
        <v>55.569999999999993</v>
      </c>
      <c r="E43" s="2">
        <f>(10.2+18.74)*2</f>
        <v>57.879999999999995</v>
      </c>
      <c r="F43" s="2">
        <f>1.1*2.1</f>
        <v>2.3100000000000005</v>
      </c>
    </row>
    <row r="44" spans="1:15" s="2" customFormat="1" x14ac:dyDescent="0.2">
      <c r="A44" s="16" t="s">
        <v>40</v>
      </c>
      <c r="B44" s="2" t="s">
        <v>12</v>
      </c>
      <c r="C44" s="2">
        <f>C43</f>
        <v>55.569999999999993</v>
      </c>
    </row>
    <row r="45" spans="1:15" s="2" customFormat="1" x14ac:dyDescent="0.2">
      <c r="A45" s="16" t="s">
        <v>60</v>
      </c>
      <c r="B45" s="2" t="s">
        <v>13</v>
      </c>
      <c r="C45" s="2">
        <f>E45-F45</f>
        <v>97.41</v>
      </c>
      <c r="E45" s="2">
        <v>143.97</v>
      </c>
      <c r="F45" s="2">
        <v>46.56</v>
      </c>
    </row>
    <row r="46" spans="1:15" ht="13.5" customHeight="1" x14ac:dyDescent="0.2"/>
    <row r="47" spans="1:15" ht="15" x14ac:dyDescent="0.25">
      <c r="A47" s="8" t="s">
        <v>35</v>
      </c>
      <c r="B47" s="8"/>
    </row>
    <row r="48" spans="1:15" x14ac:dyDescent="0.2">
      <c r="A48" t="s">
        <v>63</v>
      </c>
      <c r="B48" s="2" t="s">
        <v>53</v>
      </c>
      <c r="C48">
        <v>6</v>
      </c>
    </row>
    <row r="49" spans="1:3" x14ac:dyDescent="0.2">
      <c r="A49" t="s">
        <v>64</v>
      </c>
      <c r="B49" s="2" t="s">
        <v>53</v>
      </c>
      <c r="C49">
        <v>2</v>
      </c>
    </row>
    <row r="50" spans="1:3" x14ac:dyDescent="0.2">
      <c r="A50" t="s">
        <v>65</v>
      </c>
      <c r="B50" s="2" t="s">
        <v>53</v>
      </c>
      <c r="C50">
        <v>19</v>
      </c>
    </row>
    <row r="51" spans="1:3" s="2" customFormat="1" x14ac:dyDescent="0.2">
      <c r="A51" s="2" t="s">
        <v>36</v>
      </c>
      <c r="B51" s="2" t="s">
        <v>13</v>
      </c>
      <c r="C51" s="11">
        <f>7.25*3.5</f>
        <v>25.375</v>
      </c>
    </row>
    <row r="53" spans="1:3" ht="15" x14ac:dyDescent="0.25">
      <c r="A53" s="8" t="s">
        <v>41</v>
      </c>
      <c r="B53" s="8"/>
    </row>
    <row r="54" spans="1:3" x14ac:dyDescent="0.2">
      <c r="A54" t="s">
        <v>66</v>
      </c>
      <c r="B54" s="2" t="s">
        <v>13</v>
      </c>
      <c r="C54">
        <v>15</v>
      </c>
    </row>
    <row r="55" spans="1:3" x14ac:dyDescent="0.2">
      <c r="A55" t="s">
        <v>11</v>
      </c>
      <c r="B55" s="2" t="s">
        <v>13</v>
      </c>
      <c r="C55">
        <f>(24.72+5.18+12.56+3.45+7.09+2.55+36+4.05)</f>
        <v>95.6</v>
      </c>
    </row>
    <row r="57" spans="1:3" s="2" customFormat="1" ht="15" x14ac:dyDescent="0.25">
      <c r="A57" s="8" t="s">
        <v>42</v>
      </c>
      <c r="B57" s="8"/>
    </row>
    <row r="58" spans="1:3" s="2" customFormat="1" x14ac:dyDescent="0.2">
      <c r="A58" s="2" t="s">
        <v>66</v>
      </c>
      <c r="B58" s="2" t="s">
        <v>12</v>
      </c>
      <c r="C58" s="2">
        <f>(18.75+73.74)</f>
        <v>92.49</v>
      </c>
    </row>
    <row r="59" spans="1:3" s="2" customFormat="1" x14ac:dyDescent="0.2"/>
    <row r="61" spans="1:3" ht="15" x14ac:dyDescent="0.25">
      <c r="A61" s="8" t="s">
        <v>43</v>
      </c>
      <c r="B61" s="8"/>
    </row>
    <row r="62" spans="1:3" x14ac:dyDescent="0.2">
      <c r="A62" s="9" t="s">
        <v>37</v>
      </c>
      <c r="B62" s="9"/>
    </row>
    <row r="63" spans="1:3" x14ac:dyDescent="0.2">
      <c r="A63" t="s">
        <v>38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ORÇAMENTO SINTÉTICO</vt:lpstr>
      <vt:lpstr>COMPOSIÇÃO</vt:lpstr>
      <vt:lpstr>BDI</vt:lpstr>
      <vt:lpstr>COTAÇÃO</vt:lpstr>
      <vt:lpstr>CRONOGRAMA</vt:lpstr>
      <vt:lpstr>QUANTITATIVO</vt:lpstr>
      <vt:lpstr>BDI!Area_de_impressao</vt:lpstr>
      <vt:lpstr>COMPOSIÇÃO!Area_de_impressao</vt:lpstr>
      <vt:lpstr>COTAÇÃO!Area_de_impressao</vt:lpstr>
      <vt:lpstr>CRONOGRAMA!Area_de_impressao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Regane Maria Tenroller</cp:lastModifiedBy>
  <cp:revision>0</cp:revision>
  <cp:lastPrinted>2022-11-08T16:03:43Z</cp:lastPrinted>
  <dcterms:created xsi:type="dcterms:W3CDTF">2021-06-21T18:13:42Z</dcterms:created>
  <dcterms:modified xsi:type="dcterms:W3CDTF">2022-11-08T21:23:29Z</dcterms:modified>
</cp:coreProperties>
</file>